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lda\Downloads\"/>
    </mc:Choice>
  </mc:AlternateContent>
  <bookViews>
    <workbookView xWindow="0" yWindow="0" windowWidth="19200" windowHeight="6930"/>
  </bookViews>
  <sheets>
    <sheet name="Resumen" sheetId="2" r:id="rId1"/>
    <sheet name="Georreferencias" sheetId="1" r:id="rId2"/>
  </sheets>
  <definedNames>
    <definedName name="_xlnm.Print_Titles" localSheetId="1">Georreferencias!$1:$4</definedName>
    <definedName name="_xlnm.Print_Titles" localSheetId="0">Resumen!$1:$4</definedName>
  </definedNames>
  <calcPr calcId="999999"/>
</workbook>
</file>

<file path=xl/calcChain.xml><?xml version="1.0" encoding="utf-8"?>
<calcChain xmlns="http://schemas.openxmlformats.org/spreadsheetml/2006/main">
  <c r="L3295" i="1" l="1"/>
  <c r="L3294" i="1"/>
  <c r="L3293" i="1"/>
  <c r="L3292" i="1"/>
  <c r="L3291" i="1"/>
  <c r="L3290" i="1"/>
  <c r="L3289" i="1"/>
  <c r="L3288" i="1"/>
  <c r="L3287" i="1"/>
  <c r="L3286" i="1"/>
  <c r="L3285" i="1"/>
  <c r="L3284" i="1"/>
  <c r="L3283" i="1"/>
  <c r="L3282" i="1"/>
  <c r="L3281" i="1"/>
  <c r="L3280" i="1"/>
  <c r="L3279" i="1"/>
  <c r="L3278" i="1"/>
  <c r="L3277" i="1"/>
  <c r="L3276" i="1"/>
  <c r="L3275" i="1"/>
  <c r="L3274" i="1"/>
  <c r="L3273" i="1"/>
  <c r="L3272" i="1"/>
  <c r="L3271" i="1"/>
  <c r="L3270" i="1"/>
  <c r="L3269" i="1"/>
  <c r="L3268" i="1"/>
  <c r="L3267" i="1"/>
  <c r="L3266" i="1"/>
  <c r="L3265" i="1"/>
  <c r="L3264" i="1"/>
  <c r="L3263" i="1"/>
  <c r="L3262" i="1"/>
  <c r="L3261" i="1"/>
  <c r="L3260" i="1"/>
  <c r="L3259" i="1"/>
  <c r="L3258" i="1"/>
  <c r="L3257" i="1"/>
  <c r="L3256" i="1"/>
  <c r="L3255" i="1"/>
  <c r="L3254" i="1"/>
  <c r="L3253" i="1"/>
  <c r="L3252" i="1"/>
  <c r="L3251" i="1"/>
  <c r="L3250" i="1"/>
  <c r="L3249" i="1"/>
  <c r="L3248" i="1"/>
  <c r="L3247" i="1"/>
  <c r="L3246" i="1"/>
  <c r="L3245" i="1"/>
  <c r="L3244" i="1"/>
  <c r="L3243" i="1"/>
  <c r="L3242" i="1"/>
  <c r="L3241" i="1"/>
  <c r="L3240" i="1"/>
  <c r="L3239" i="1"/>
  <c r="L3238" i="1"/>
  <c r="L3237" i="1"/>
  <c r="L3236" i="1"/>
  <c r="L3235" i="1"/>
  <c r="L3234" i="1"/>
  <c r="L3233" i="1"/>
  <c r="L3232" i="1"/>
  <c r="L3231" i="1"/>
  <c r="L3230" i="1"/>
  <c r="L3229" i="1"/>
  <c r="L3228" i="1"/>
  <c r="L3227" i="1"/>
  <c r="L3226" i="1"/>
  <c r="L3225" i="1"/>
  <c r="L3224" i="1"/>
  <c r="L3223" i="1"/>
  <c r="L3222" i="1"/>
  <c r="L3221" i="1"/>
  <c r="L3220" i="1"/>
  <c r="L3219" i="1"/>
  <c r="L3218" i="1"/>
  <c r="L3217" i="1"/>
  <c r="L3216" i="1"/>
  <c r="L3215" i="1"/>
  <c r="L3214" i="1"/>
  <c r="L3213" i="1"/>
  <c r="L3212" i="1"/>
  <c r="L3211" i="1"/>
  <c r="L3210" i="1"/>
  <c r="L3209" i="1"/>
  <c r="L3208" i="1"/>
  <c r="L3207" i="1"/>
  <c r="L3206" i="1"/>
  <c r="L3205" i="1"/>
  <c r="L3204" i="1"/>
  <c r="L3203" i="1"/>
  <c r="L3202" i="1"/>
  <c r="L3201" i="1"/>
  <c r="L3200" i="1"/>
  <c r="L3199" i="1"/>
  <c r="L3198" i="1"/>
  <c r="L3197" i="1"/>
  <c r="L3196" i="1"/>
  <c r="L3195" i="1"/>
  <c r="L3194" i="1"/>
  <c r="L3193" i="1"/>
  <c r="L3192" i="1"/>
  <c r="L3191" i="1"/>
  <c r="L3190" i="1"/>
  <c r="L3189" i="1"/>
  <c r="L3188" i="1"/>
  <c r="L3187" i="1"/>
  <c r="L3186" i="1"/>
  <c r="L3185" i="1"/>
  <c r="L3184" i="1"/>
  <c r="L3183" i="1"/>
  <c r="L3182" i="1"/>
  <c r="L3181" i="1"/>
  <c r="L3180" i="1"/>
  <c r="L3179" i="1"/>
  <c r="L3178" i="1"/>
  <c r="L3177" i="1"/>
  <c r="L3176" i="1"/>
  <c r="L3175" i="1"/>
  <c r="L3174" i="1"/>
  <c r="L3173" i="1"/>
  <c r="L3172" i="1"/>
  <c r="L3171" i="1"/>
  <c r="L3170" i="1"/>
  <c r="L3169" i="1"/>
  <c r="L3168" i="1"/>
  <c r="L3167" i="1"/>
  <c r="L3166" i="1"/>
  <c r="L3165" i="1"/>
  <c r="L3164" i="1"/>
  <c r="L3163" i="1"/>
  <c r="L3162" i="1"/>
  <c r="L3161" i="1"/>
  <c r="L3160" i="1"/>
  <c r="L3159" i="1"/>
  <c r="L3158" i="1"/>
  <c r="L3157" i="1"/>
  <c r="L3156" i="1"/>
  <c r="L3155" i="1"/>
  <c r="L3154" i="1"/>
  <c r="L3153" i="1"/>
  <c r="L3152" i="1"/>
  <c r="L3151" i="1"/>
  <c r="L3150" i="1"/>
  <c r="L3149" i="1"/>
  <c r="L3148" i="1"/>
  <c r="L3147" i="1"/>
  <c r="L3146" i="1"/>
  <c r="L3145" i="1"/>
  <c r="L3144" i="1"/>
  <c r="L3143" i="1"/>
  <c r="L3142" i="1"/>
  <c r="L3141" i="1"/>
  <c r="L3140" i="1"/>
  <c r="L3139" i="1"/>
  <c r="L3138" i="1"/>
  <c r="L3137" i="1"/>
  <c r="L3136" i="1"/>
  <c r="L3135" i="1"/>
  <c r="L3134" i="1"/>
  <c r="L3133" i="1"/>
  <c r="L3132" i="1"/>
  <c r="L3131" i="1"/>
  <c r="L3130" i="1"/>
  <c r="L3129" i="1"/>
  <c r="L3128" i="1"/>
  <c r="L3127" i="1"/>
  <c r="L3126" i="1"/>
  <c r="L3125" i="1"/>
  <c r="L3124" i="1"/>
  <c r="L3123" i="1"/>
  <c r="L3122" i="1"/>
  <c r="L3121" i="1"/>
  <c r="L3120" i="1"/>
  <c r="L3119" i="1"/>
  <c r="L3118" i="1"/>
  <c r="L3117" i="1"/>
  <c r="L3116" i="1"/>
  <c r="L3115" i="1"/>
  <c r="L3114" i="1"/>
  <c r="L3113" i="1"/>
  <c r="L3112" i="1"/>
  <c r="L3111" i="1"/>
  <c r="L3110" i="1"/>
  <c r="L3109" i="1"/>
  <c r="L3108" i="1"/>
  <c r="L3107" i="1"/>
  <c r="L3106" i="1"/>
  <c r="L3105" i="1"/>
  <c r="L3104" i="1"/>
  <c r="L3103" i="1"/>
  <c r="L3102" i="1"/>
  <c r="L3101" i="1"/>
  <c r="L3100" i="1"/>
  <c r="L3099" i="1"/>
  <c r="L3098" i="1"/>
  <c r="L3097" i="1"/>
  <c r="L3096" i="1"/>
  <c r="L3095" i="1"/>
  <c r="L3094" i="1"/>
  <c r="L3093" i="1"/>
  <c r="L3092" i="1"/>
  <c r="L3091" i="1"/>
  <c r="L3090" i="1"/>
  <c r="L3089" i="1"/>
  <c r="L3088" i="1"/>
  <c r="L3087" i="1"/>
  <c r="L3086" i="1"/>
  <c r="L3085" i="1"/>
  <c r="L3084" i="1"/>
  <c r="L3083" i="1"/>
  <c r="L3082" i="1"/>
  <c r="L3081" i="1"/>
  <c r="L3080" i="1"/>
  <c r="L3079" i="1"/>
  <c r="L3078" i="1"/>
  <c r="L3077" i="1"/>
  <c r="L3076" i="1"/>
  <c r="L3075" i="1"/>
  <c r="L3074" i="1"/>
  <c r="L3073" i="1"/>
  <c r="L3072" i="1"/>
  <c r="L3071" i="1"/>
  <c r="L3070" i="1"/>
  <c r="L3069" i="1"/>
  <c r="L3068" i="1"/>
  <c r="L3067" i="1"/>
  <c r="L3066" i="1"/>
  <c r="L3065" i="1"/>
  <c r="L3064" i="1"/>
  <c r="L3063" i="1"/>
  <c r="L3062" i="1"/>
  <c r="L3061" i="1"/>
  <c r="L3060" i="1"/>
  <c r="L3059" i="1"/>
  <c r="L3058" i="1"/>
  <c r="L3057" i="1"/>
  <c r="L3056" i="1"/>
  <c r="L3055" i="1"/>
  <c r="L3054" i="1"/>
  <c r="L3053" i="1"/>
  <c r="L3052" i="1"/>
  <c r="L3051" i="1"/>
  <c r="L3050" i="1"/>
  <c r="L3049" i="1"/>
  <c r="L3048" i="1"/>
  <c r="L3047" i="1"/>
  <c r="L3046" i="1"/>
  <c r="L3045" i="1"/>
  <c r="L3044" i="1"/>
  <c r="L3043" i="1"/>
  <c r="L3042" i="1"/>
  <c r="L3041" i="1"/>
  <c r="L3040" i="1"/>
  <c r="L3039" i="1"/>
  <c r="L3038" i="1"/>
  <c r="L3037" i="1"/>
  <c r="L3036" i="1"/>
  <c r="L3035" i="1"/>
  <c r="L3034" i="1"/>
  <c r="L3033" i="1"/>
  <c r="L3032" i="1"/>
  <c r="L3031" i="1"/>
  <c r="L3030" i="1"/>
  <c r="L3029" i="1"/>
  <c r="L3028" i="1"/>
  <c r="L3027" i="1"/>
  <c r="L3026" i="1"/>
  <c r="L3025" i="1"/>
  <c r="L3024" i="1"/>
  <c r="L3023" i="1"/>
  <c r="L3022" i="1"/>
  <c r="L3021" i="1"/>
  <c r="L3020" i="1"/>
  <c r="L3019" i="1"/>
  <c r="L3018" i="1"/>
  <c r="L3017" i="1"/>
  <c r="L3016" i="1"/>
  <c r="L3015" i="1"/>
  <c r="L3014" i="1"/>
  <c r="L3013" i="1"/>
  <c r="L3012" i="1"/>
  <c r="L3011" i="1"/>
  <c r="L3010" i="1"/>
  <c r="L3009" i="1"/>
  <c r="L3008" i="1"/>
  <c r="L3007" i="1"/>
  <c r="L3006" i="1"/>
  <c r="L3005" i="1"/>
  <c r="L3004" i="1"/>
  <c r="L3003" i="1"/>
  <c r="L3002" i="1"/>
  <c r="L3001" i="1"/>
  <c r="L3000" i="1"/>
  <c r="L2999" i="1"/>
  <c r="L2998" i="1"/>
  <c r="L2997" i="1"/>
  <c r="L2996" i="1"/>
  <c r="L2995" i="1"/>
  <c r="L2994" i="1"/>
  <c r="L2993" i="1"/>
  <c r="L2992" i="1"/>
  <c r="L2991" i="1"/>
  <c r="L2990" i="1"/>
  <c r="L2989" i="1"/>
  <c r="L2988" i="1"/>
  <c r="L2987" i="1"/>
  <c r="L2986" i="1"/>
  <c r="L2985" i="1"/>
  <c r="L2984" i="1"/>
  <c r="L2983" i="1"/>
  <c r="L2982" i="1"/>
  <c r="L2981" i="1"/>
  <c r="L2980" i="1"/>
  <c r="L2979" i="1"/>
  <c r="L2978" i="1"/>
  <c r="L2977" i="1"/>
  <c r="L2976" i="1"/>
  <c r="L2975" i="1"/>
  <c r="L2974" i="1"/>
  <c r="L2973" i="1"/>
  <c r="L2972" i="1"/>
  <c r="L2971" i="1"/>
  <c r="L2970" i="1"/>
  <c r="L2969" i="1"/>
  <c r="L2968" i="1"/>
  <c r="L2967" i="1"/>
  <c r="L2966" i="1"/>
  <c r="L2965" i="1"/>
  <c r="L2964" i="1"/>
  <c r="L2963" i="1"/>
  <c r="L2962" i="1"/>
  <c r="L2961" i="1"/>
  <c r="L2960" i="1"/>
  <c r="L2959" i="1"/>
  <c r="L2958" i="1"/>
  <c r="L2957" i="1"/>
  <c r="L2956" i="1"/>
  <c r="L2955" i="1"/>
  <c r="L2954" i="1"/>
  <c r="L2953" i="1"/>
  <c r="L2952" i="1"/>
  <c r="L2951" i="1"/>
  <c r="L2950" i="1"/>
  <c r="L2949" i="1"/>
  <c r="L2948" i="1"/>
  <c r="L2947" i="1"/>
  <c r="L2946" i="1"/>
  <c r="L2945" i="1"/>
  <c r="L2944" i="1"/>
  <c r="L2943" i="1"/>
  <c r="L2942" i="1"/>
  <c r="L2941" i="1"/>
  <c r="L2940" i="1"/>
  <c r="L2939" i="1"/>
  <c r="L2938" i="1"/>
  <c r="L2937" i="1"/>
  <c r="L2936" i="1"/>
  <c r="L2935" i="1"/>
  <c r="L2934" i="1"/>
  <c r="L2933" i="1"/>
  <c r="L2932" i="1"/>
  <c r="L2931" i="1"/>
  <c r="L2930" i="1"/>
  <c r="L2929" i="1"/>
  <c r="L2928" i="1"/>
  <c r="L2927" i="1"/>
  <c r="L2926" i="1"/>
  <c r="L2925" i="1"/>
  <c r="L2924" i="1"/>
  <c r="L2923" i="1"/>
  <c r="L2922" i="1"/>
  <c r="L2921" i="1"/>
  <c r="L2920" i="1"/>
  <c r="L2919" i="1"/>
  <c r="L2918" i="1"/>
  <c r="L2917" i="1"/>
  <c r="L2916" i="1"/>
  <c r="L2915" i="1"/>
  <c r="L2914" i="1"/>
  <c r="L2913" i="1"/>
  <c r="L2912" i="1"/>
  <c r="L2911" i="1"/>
  <c r="L2910" i="1"/>
  <c r="L2909" i="1"/>
  <c r="L2908" i="1"/>
  <c r="L2907" i="1"/>
  <c r="L2906" i="1"/>
  <c r="L2905" i="1"/>
  <c r="L2904" i="1"/>
  <c r="L2903" i="1"/>
  <c r="L2902" i="1"/>
  <c r="L2901" i="1"/>
  <c r="L2900" i="1"/>
  <c r="L2899" i="1"/>
  <c r="L2898" i="1"/>
  <c r="L2897" i="1"/>
  <c r="L2896" i="1"/>
  <c r="L2895" i="1"/>
  <c r="L2894" i="1"/>
  <c r="L2893" i="1"/>
  <c r="L2892" i="1"/>
  <c r="L2891" i="1"/>
  <c r="L2890" i="1"/>
  <c r="L2889" i="1"/>
  <c r="L2888" i="1"/>
  <c r="L2887" i="1"/>
  <c r="L2886" i="1"/>
  <c r="L2885" i="1"/>
  <c r="L2884" i="1"/>
  <c r="L2883" i="1"/>
  <c r="L2882" i="1"/>
  <c r="L2881" i="1"/>
  <c r="L2880" i="1"/>
  <c r="L2879" i="1"/>
  <c r="L2878" i="1"/>
  <c r="L2877" i="1"/>
  <c r="L2876" i="1"/>
  <c r="L2875" i="1"/>
  <c r="L2874" i="1"/>
  <c r="L2873" i="1"/>
  <c r="L2872" i="1"/>
  <c r="L2871" i="1"/>
  <c r="L2870" i="1"/>
  <c r="L2869" i="1"/>
  <c r="L2868" i="1"/>
  <c r="L2867" i="1"/>
  <c r="L2866" i="1"/>
  <c r="L2865" i="1"/>
  <c r="L2864" i="1"/>
  <c r="L2863" i="1"/>
  <c r="L2862" i="1"/>
  <c r="L2861" i="1"/>
  <c r="L2860" i="1"/>
  <c r="L2859" i="1"/>
  <c r="L2858" i="1"/>
  <c r="L2857" i="1"/>
  <c r="L2856" i="1"/>
  <c r="L2855" i="1"/>
  <c r="L2854" i="1"/>
  <c r="L2853" i="1"/>
  <c r="L2852" i="1"/>
  <c r="L2851" i="1"/>
  <c r="L2850" i="1"/>
  <c r="L2849" i="1"/>
  <c r="L2848" i="1"/>
  <c r="L2847" i="1"/>
  <c r="L2846" i="1"/>
  <c r="L2845" i="1"/>
  <c r="L2844" i="1"/>
  <c r="L2843" i="1"/>
  <c r="L2842" i="1"/>
  <c r="L2841" i="1"/>
  <c r="L2840" i="1"/>
  <c r="L2839" i="1"/>
  <c r="L2838" i="1"/>
  <c r="L2837" i="1"/>
  <c r="L2836" i="1"/>
  <c r="L2835" i="1"/>
  <c r="L2834" i="1"/>
  <c r="L2833" i="1"/>
  <c r="L2832" i="1"/>
  <c r="L2831" i="1"/>
  <c r="L2830" i="1"/>
  <c r="L2829" i="1"/>
  <c r="L2828" i="1"/>
  <c r="L2827" i="1"/>
  <c r="L2826" i="1"/>
  <c r="L2825" i="1"/>
  <c r="L2824" i="1"/>
  <c r="L2823" i="1"/>
  <c r="L2822" i="1"/>
  <c r="L2821" i="1"/>
  <c r="L2820" i="1"/>
  <c r="L2819" i="1"/>
  <c r="L2818" i="1"/>
  <c r="L2817" i="1"/>
  <c r="L2816" i="1"/>
  <c r="L2815" i="1"/>
  <c r="L2814" i="1"/>
  <c r="L2813" i="1"/>
  <c r="L2812" i="1"/>
  <c r="L2811" i="1"/>
  <c r="L2810" i="1"/>
  <c r="L2809" i="1"/>
  <c r="L2808" i="1"/>
  <c r="L2807" i="1"/>
  <c r="L2806" i="1"/>
  <c r="L2805" i="1"/>
  <c r="L2804" i="1"/>
  <c r="L2803" i="1"/>
  <c r="L2802" i="1"/>
  <c r="L2801" i="1"/>
  <c r="L2800" i="1"/>
  <c r="L2799" i="1"/>
  <c r="L2798" i="1"/>
  <c r="L2797" i="1"/>
  <c r="L2796" i="1"/>
  <c r="L2795" i="1"/>
  <c r="L2794" i="1"/>
  <c r="L2793" i="1"/>
  <c r="L2792" i="1"/>
  <c r="L2791" i="1"/>
  <c r="L2790" i="1"/>
  <c r="L2789" i="1"/>
  <c r="L2788" i="1"/>
  <c r="L2787" i="1"/>
  <c r="L2786" i="1"/>
  <c r="L2785" i="1"/>
  <c r="L2784" i="1"/>
  <c r="L2783" i="1"/>
  <c r="L2782" i="1"/>
  <c r="L2781" i="1"/>
  <c r="L2780" i="1"/>
  <c r="L2779" i="1"/>
  <c r="L2778" i="1"/>
  <c r="L2777" i="1"/>
  <c r="L2776" i="1"/>
  <c r="L2775" i="1"/>
  <c r="L2774" i="1"/>
  <c r="L2773" i="1"/>
  <c r="L2772" i="1"/>
  <c r="L2771" i="1"/>
  <c r="L2770" i="1"/>
  <c r="L2769" i="1"/>
  <c r="L2768" i="1"/>
  <c r="L2767" i="1"/>
  <c r="L2766" i="1"/>
  <c r="L2765" i="1"/>
  <c r="L2764" i="1"/>
  <c r="L2763" i="1"/>
  <c r="L2762" i="1"/>
  <c r="L2761" i="1"/>
  <c r="L2760" i="1"/>
  <c r="L2759" i="1"/>
  <c r="L2758" i="1"/>
  <c r="L2757" i="1"/>
  <c r="L2756" i="1"/>
  <c r="L2755" i="1"/>
  <c r="L2754" i="1"/>
  <c r="L2753" i="1"/>
  <c r="L2752" i="1"/>
  <c r="L2751" i="1"/>
  <c r="L2750" i="1"/>
  <c r="L2749" i="1"/>
  <c r="L2748" i="1"/>
  <c r="L2747" i="1"/>
  <c r="L2746" i="1"/>
  <c r="L2745" i="1"/>
  <c r="L2744" i="1"/>
  <c r="L2743" i="1"/>
  <c r="L2742" i="1"/>
  <c r="L2741" i="1"/>
  <c r="L2740" i="1"/>
  <c r="L2739" i="1"/>
  <c r="L2738" i="1"/>
  <c r="L2737" i="1"/>
  <c r="L2736" i="1"/>
  <c r="L2735" i="1"/>
  <c r="L2734" i="1"/>
  <c r="L2733" i="1"/>
  <c r="L2732" i="1"/>
  <c r="L2731" i="1"/>
  <c r="L2730" i="1"/>
  <c r="L2729" i="1"/>
  <c r="L2728" i="1"/>
  <c r="L2727" i="1"/>
  <c r="L2726" i="1"/>
  <c r="L2725" i="1"/>
  <c r="L2724" i="1"/>
  <c r="L2723" i="1"/>
  <c r="L2722" i="1"/>
  <c r="L2721" i="1"/>
  <c r="L2720" i="1"/>
  <c r="L2719" i="1"/>
  <c r="L2718" i="1"/>
  <c r="L2717" i="1"/>
  <c r="L2716" i="1"/>
  <c r="L2715" i="1"/>
  <c r="L2714" i="1"/>
  <c r="L2713" i="1"/>
  <c r="L2712" i="1"/>
  <c r="L2711" i="1"/>
  <c r="L2710" i="1"/>
  <c r="L2709" i="1"/>
  <c r="L2708" i="1"/>
  <c r="L2707" i="1"/>
  <c r="L2706" i="1"/>
  <c r="L2705" i="1"/>
  <c r="L2704" i="1"/>
  <c r="L2703" i="1"/>
  <c r="L2702" i="1"/>
  <c r="L2701" i="1"/>
  <c r="L2700" i="1"/>
  <c r="L2699" i="1"/>
  <c r="L2698" i="1"/>
  <c r="L2697" i="1"/>
  <c r="L2696" i="1"/>
  <c r="L2695" i="1"/>
  <c r="L2694" i="1"/>
  <c r="L2693" i="1"/>
  <c r="L2692" i="1"/>
  <c r="L2691" i="1"/>
  <c r="L2690" i="1"/>
  <c r="L2689" i="1"/>
  <c r="L2688" i="1"/>
  <c r="L2687" i="1"/>
  <c r="L2686" i="1"/>
  <c r="L2685" i="1"/>
  <c r="L2684" i="1"/>
  <c r="L2683" i="1"/>
  <c r="L2682" i="1"/>
  <c r="L2681" i="1"/>
  <c r="L2680" i="1"/>
  <c r="L2679" i="1"/>
  <c r="L2678" i="1"/>
  <c r="L2677" i="1"/>
  <c r="L2676" i="1"/>
  <c r="L2675" i="1"/>
  <c r="L2674" i="1"/>
  <c r="L2673" i="1"/>
  <c r="L2672" i="1"/>
  <c r="L2671" i="1"/>
  <c r="L2670" i="1"/>
  <c r="L2669" i="1"/>
  <c r="L2668" i="1"/>
  <c r="L2667" i="1"/>
  <c r="L2666" i="1"/>
  <c r="L2665" i="1"/>
  <c r="L2664" i="1"/>
  <c r="L2663" i="1"/>
  <c r="L2662" i="1"/>
  <c r="L2661" i="1"/>
  <c r="L2660" i="1"/>
  <c r="L2659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L2642" i="1"/>
  <c r="L2641" i="1"/>
  <c r="L2640" i="1"/>
  <c r="L2639" i="1"/>
  <c r="L2638" i="1"/>
  <c r="L2637" i="1"/>
  <c r="L2636" i="1"/>
  <c r="L2635" i="1"/>
  <c r="L2634" i="1"/>
  <c r="L2633" i="1"/>
  <c r="L2632" i="1"/>
  <c r="L2631" i="1"/>
  <c r="L2630" i="1"/>
  <c r="L2629" i="1"/>
  <c r="L2628" i="1"/>
  <c r="L2627" i="1"/>
  <c r="L2626" i="1"/>
  <c r="L2625" i="1"/>
  <c r="L2624" i="1"/>
  <c r="L2623" i="1"/>
  <c r="L2622" i="1"/>
  <c r="L2621" i="1"/>
  <c r="L2620" i="1"/>
  <c r="L2619" i="1"/>
  <c r="L2618" i="1"/>
  <c r="L2617" i="1"/>
  <c r="L2616" i="1"/>
  <c r="L2615" i="1"/>
  <c r="L2614" i="1"/>
  <c r="L2613" i="1"/>
  <c r="L2612" i="1"/>
  <c r="L2611" i="1"/>
  <c r="L2610" i="1"/>
  <c r="L2609" i="1"/>
  <c r="L2608" i="1"/>
  <c r="L2607" i="1"/>
  <c r="L2606" i="1"/>
  <c r="L2605" i="1"/>
  <c r="L2604" i="1"/>
  <c r="L2603" i="1"/>
  <c r="L2602" i="1"/>
  <c r="L2601" i="1"/>
  <c r="L2600" i="1"/>
  <c r="L2599" i="1"/>
  <c r="L2598" i="1"/>
  <c r="L2597" i="1"/>
  <c r="L2596" i="1"/>
  <c r="L2595" i="1"/>
  <c r="L2594" i="1"/>
  <c r="L2593" i="1"/>
  <c r="L2592" i="1"/>
  <c r="L2591" i="1"/>
  <c r="L2590" i="1"/>
  <c r="L2589" i="1"/>
  <c r="L2588" i="1"/>
  <c r="L2587" i="1"/>
  <c r="L2586" i="1"/>
  <c r="L2585" i="1"/>
  <c r="L2584" i="1"/>
  <c r="L2583" i="1"/>
  <c r="L2582" i="1"/>
  <c r="L2581" i="1"/>
  <c r="L2580" i="1"/>
  <c r="L2579" i="1"/>
  <c r="L2578" i="1"/>
  <c r="L2577" i="1"/>
  <c r="L2576" i="1"/>
  <c r="L2575" i="1"/>
  <c r="L2574" i="1"/>
  <c r="L2573" i="1"/>
  <c r="L2572" i="1"/>
  <c r="L2571" i="1"/>
  <c r="L2570" i="1"/>
  <c r="L2569" i="1"/>
  <c r="L2568" i="1"/>
  <c r="L2567" i="1"/>
  <c r="L2566" i="1"/>
  <c r="L2565" i="1"/>
  <c r="L2564" i="1"/>
  <c r="L2563" i="1"/>
  <c r="L2562" i="1"/>
  <c r="L2561" i="1"/>
  <c r="L2560" i="1"/>
  <c r="L2559" i="1"/>
  <c r="L2558" i="1"/>
  <c r="L2557" i="1"/>
  <c r="L2556" i="1"/>
  <c r="L2555" i="1"/>
  <c r="L2554" i="1"/>
  <c r="L2553" i="1"/>
  <c r="L2552" i="1"/>
  <c r="L2551" i="1"/>
  <c r="L2550" i="1"/>
  <c r="L2549" i="1"/>
  <c r="L2548" i="1"/>
  <c r="L2547" i="1"/>
  <c r="L2546" i="1"/>
  <c r="L2545" i="1"/>
  <c r="L2544" i="1"/>
  <c r="L2543" i="1"/>
  <c r="L2542" i="1"/>
  <c r="L2541" i="1"/>
  <c r="L2540" i="1"/>
  <c r="L2539" i="1"/>
  <c r="L2538" i="1"/>
  <c r="L2537" i="1"/>
  <c r="L2536" i="1"/>
  <c r="L2535" i="1"/>
  <c r="L2534" i="1"/>
  <c r="L2533" i="1"/>
  <c r="L2532" i="1"/>
  <c r="L2531" i="1"/>
  <c r="L2530" i="1"/>
  <c r="L2529" i="1"/>
  <c r="L2528" i="1"/>
  <c r="L2527" i="1"/>
  <c r="L2526" i="1"/>
  <c r="L2525" i="1"/>
  <c r="L2524" i="1"/>
  <c r="L2523" i="1"/>
  <c r="L2522" i="1"/>
  <c r="L2521" i="1"/>
  <c r="L2520" i="1"/>
  <c r="L2519" i="1"/>
  <c r="L2518" i="1"/>
  <c r="L2517" i="1"/>
  <c r="L2516" i="1"/>
  <c r="L2515" i="1"/>
  <c r="L2514" i="1"/>
  <c r="L2513" i="1"/>
  <c r="L2512" i="1"/>
  <c r="L2511" i="1"/>
  <c r="L2510" i="1"/>
  <c r="L2509" i="1"/>
  <c r="L2508" i="1"/>
  <c r="L2507" i="1"/>
  <c r="L2506" i="1"/>
  <c r="L2505" i="1"/>
  <c r="L2504" i="1"/>
  <c r="L2503" i="1"/>
  <c r="L2502" i="1"/>
  <c r="L2501" i="1"/>
  <c r="L2500" i="1"/>
  <c r="L2499" i="1"/>
  <c r="L2498" i="1"/>
  <c r="L2497" i="1"/>
  <c r="L2496" i="1"/>
  <c r="L2495" i="1"/>
  <c r="L2494" i="1"/>
  <c r="L2493" i="1"/>
  <c r="L2492" i="1"/>
  <c r="L2491" i="1"/>
  <c r="L2490" i="1"/>
  <c r="L2489" i="1"/>
  <c r="L2488" i="1"/>
  <c r="L2487" i="1"/>
  <c r="L2486" i="1"/>
  <c r="L2485" i="1"/>
  <c r="L2484" i="1"/>
  <c r="L2483" i="1"/>
  <c r="L2482" i="1"/>
  <c r="L2481" i="1"/>
  <c r="L2480" i="1"/>
  <c r="L2479" i="1"/>
  <c r="L2478" i="1"/>
  <c r="L2477" i="1"/>
  <c r="L2476" i="1"/>
  <c r="L2475" i="1"/>
  <c r="L2474" i="1"/>
  <c r="L2473" i="1"/>
  <c r="L2472" i="1"/>
  <c r="L2471" i="1"/>
  <c r="L2470" i="1"/>
  <c r="L2469" i="1"/>
  <c r="L2468" i="1"/>
  <c r="L2467" i="1"/>
  <c r="L2466" i="1"/>
  <c r="L2465" i="1"/>
  <c r="L2464" i="1"/>
  <c r="L2463" i="1"/>
  <c r="L2462" i="1"/>
  <c r="L2461" i="1"/>
  <c r="L2460" i="1"/>
  <c r="L2459" i="1"/>
  <c r="L2458" i="1"/>
  <c r="L2457" i="1"/>
  <c r="L2456" i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<sst xmlns="http://schemas.openxmlformats.org/spreadsheetml/2006/main" count="29719" uniqueCount="492">
  <si>
    <t>SECRETARIA DE FINANZAS DEL ESTADO DE OAXACA
SUBSECRETARIA DE PLANEACIÓN E INVERSIÓN PÚBLICA
DIRECCIÓN DE SEGUIMIENTO A LA INVERSIÓN PÚBLICA
GEORREFERENCIAS DE LA INVERSIÓN PÚBLICA EJERCICIO 2024
PERIODO 1ER TRIMESTRE</t>
  </si>
  <si>
    <t>UNIDAD RESPONSABLE</t>
  </si>
  <si>
    <t>111 - SECRETARÍA DE BIENESTAR, TEQUIO E INCLUSIÓN</t>
  </si>
  <si>
    <t>129 - SECRETARÍA DE TURISMO</t>
  </si>
  <si>
    <t>565 - INSTITUTO DEL DEPORTE</t>
  </si>
  <si>
    <t>530 - INSTITUTO ESTATAL DE EDUCACIÓN PARA ADULTOS</t>
  </si>
  <si>
    <t>117 - SECRETARÍA DE ADMINISTRACIÓN</t>
  </si>
  <si>
    <t>539 - SISTEMA OPERADOR DE LOS SERVICIOS DE AGUA POTABLE Y ALCANTARILLADO</t>
  </si>
  <si>
    <t>511 - VIVIENDA BIENESTAR</t>
  </si>
  <si>
    <t>UNIDAD EJECUTORA</t>
  </si>
  <si>
    <t>111001 - OFICINA DEL SECRETARIO DE BIENESTAR, TEQUIO  E INCLUSIÓN</t>
  </si>
  <si>
    <t>129001 - OFICINA DEL SECRETARIO DE TURISMO</t>
  </si>
  <si>
    <t>565001 - INSTITUTO DEL DEPORTE</t>
  </si>
  <si>
    <t>530001 - COORDINACIÓN DE PLANEACIÓN</t>
  </si>
  <si>
    <t>117001 - OFICINA DEL SECRETARIO DE ADMINISTRACIÓN</t>
  </si>
  <si>
    <t>539002 - SERVICIOS DE INFRAESTRUCTURA PARA AGUA POTABLE Y SANEAMIENTO</t>
  </si>
  <si>
    <t>511001 - VIVIENDA BIENESTAR</t>
  </si>
  <si>
    <t>NOMBRE ACTIVIDAD</t>
  </si>
  <si>
    <t>PROGRAMA DE ATENCIÓN A JEFAS DE FAMILIA, "TARJETA MARGARITA MAZA", PARA EL EJERCICIO FISCAL 2024.</t>
  </si>
  <si>
    <t>ELABORACIÓN DE ESTUDIO DIAGNÓSTICO ESPECIALIZADO DE OAXACA COMO DESTINO GASTRONÓMICO</t>
  </si>
  <si>
    <t>FOMENTO DEPORTIVO “CAMPEONES DE LA GUELAGUETZA”</t>
  </si>
  <si>
    <t>CAMPAÑA NACIONAL DE ALFABETIZACIÓN Y REDUCCIÓN DEL REZAGO EDUCATIVO EN EL ESTADO DE OAXACA 2023-2028.</t>
  </si>
  <si>
    <t>ACCIONES DE SONORIZACIÓN, AMBIENTACIÓN Y LOGÍSTICA PARA EL TORNEO MUNDIAL DE BOX EN EL AUDITORIO GUELAGUETZA 2024</t>
  </si>
  <si>
    <t>EDICIÓN 43 VITRINA TURÍSTICA ANATO, BOGOTÁ, COLOMBIA 2024</t>
  </si>
  <si>
    <t>QUINTA EDICIÓN DEL FESTIVAL TURÍSTICO SAN AGUS FEST 2024.</t>
  </si>
  <si>
    <t>PROGRAMA EMERGENTE PARA EL ABASTECIMIENTO DE AGUA POTABLE A LA POBLACIÓN DEL MUNICIPIO DE OAXACA DE JUÁREZ Y MUNICIPIOS CONURBADOS</t>
  </si>
  <si>
    <t>CONSTRUCCIÓN DE PISO FIRME PARA EL MEJORAMIENTO DE LA VIVIENDA, EN LA LOCALIDAD SANTIAGO ASTATA, MUNICIPIO SANTIAGO ASTATA.</t>
  </si>
  <si>
    <t>CONSTRUCCIÓN DE PISO FIRME PARA EL MEJORAMIENTO DE LA VIVIENDA, EN LA LOCALIDAD SAN PABLO CUATRO VENADOS, MUNICIPIO SAN PABLO CUATRO VENADOS.</t>
  </si>
  <si>
    <t>CONSTRUCCIÓN DE PISO FIRME PARA EL MEJORAMIENTO DE LA VIVIENDA, EN LA LOCALIDAD SAN CRISTÓBAL, MUNICIPIO SAN PABLO CUATRO VENADOS.</t>
  </si>
  <si>
    <t>CONSTRUCCIÓN DE PISO FIRME PARA EL MEJORAMIENTO DE LA VIVIENDA, EN LA LOCALIDAD RÍO JALAPILLA, MUNICIPIO SAN PABLO CUATRO VENADOS</t>
  </si>
  <si>
    <t>VERTIENTE</t>
  </si>
  <si>
    <t>ASS - ASISTENCIA SOCIAL</t>
  </si>
  <si>
    <t>TUR - DESARROLLO TURISTICO</t>
  </si>
  <si>
    <t>CFD - CULTURA FISICA Y DEPORTE</t>
  </si>
  <si>
    <t>AGP - AGUA POTABLE</t>
  </si>
  <si>
    <t>VIV - VIVIENDA</t>
  </si>
  <si>
    <t>REGION</t>
  </si>
  <si>
    <t>08 - VALLES CENTRALES</t>
  </si>
  <si>
    <t>02 - COSTA</t>
  </si>
  <si>
    <t>03 - ISTMO</t>
  </si>
  <si>
    <t>DISTRITO</t>
  </si>
  <si>
    <t>19 - CENTRO</t>
  </si>
  <si>
    <t>98 - COBERTURA REGIONAL VALLES CENTRALES</t>
  </si>
  <si>
    <t>30 - POCHUTLA</t>
  </si>
  <si>
    <t>28 - TEHUANTEPEC</t>
  </si>
  <si>
    <t>17 - ZAACHILA</t>
  </si>
  <si>
    <t>MUNICIPIO</t>
  </si>
  <si>
    <t>553 - TLALIXTAC DE CABRERA</t>
  </si>
  <si>
    <t>067 - OAXACA DE JUÁREZ</t>
  </si>
  <si>
    <t>998 - COBERTURA REGIONAL VALLES CENTRALES</t>
  </si>
  <si>
    <t>439 - SANTA MARÍA TONAMECA</t>
  </si>
  <si>
    <t>453 - SANTIAGO ASTATA</t>
  </si>
  <si>
    <t>292 - SAN PABLO CUATRO VENADOS</t>
  </si>
  <si>
    <t>LOCALIDAD</t>
  </si>
  <si>
    <t>0001 - TLALIXTAC DE CABRERA</t>
  </si>
  <si>
    <t>0001 - OAXACA DE JUÁREZ</t>
  </si>
  <si>
    <t>9999 - COBERTURA REGIONAL VALLES CENTRALES</t>
  </si>
  <si>
    <t>0091 - SAN AGUSTINILLO</t>
  </si>
  <si>
    <t>0001 - SANTIAGO ASTATA</t>
  </si>
  <si>
    <t>0001 - SAN PABLO CUATRO VENADOS</t>
  </si>
  <si>
    <t>0017 - SAN CRISTÓBAL</t>
  </si>
  <si>
    <t>0002 - RÍO JALAPILLA</t>
  </si>
  <si>
    <t>TIPO AREA GEOGRÁFICA</t>
  </si>
  <si>
    <t>PUNTO</t>
  </si>
  <si>
    <t>LATITUD</t>
  </si>
  <si>
    <t>LONGITUD</t>
  </si>
  <si>
    <t xml:space="preserve">	-96.71122686043876</t>
  </si>
  <si>
    <t>CONSULTAR</t>
  </si>
  <si>
    <t>FERIA INTERNACIONAL DE TURISMO MADRID, ESPAÑA 2024</t>
  </si>
  <si>
    <t xml:space="preserve">-96.720205 </t>
  </si>
  <si>
    <t>ENCUENTRO NUDISTA ZIPOLITE 2024</t>
  </si>
  <si>
    <t>324 - SAN PEDRO POCHUTLA</t>
  </si>
  <si>
    <t>0084 - PLAYA ZIPOLITE</t>
  </si>
  <si>
    <t>CONSTRUCCIÓN DE PISO FIRME PARA EL MEJORAMIENTO DE LA VIVIENDA, EN LA LOCALIDAD LLANO MANTECA, MUNICIPIO SAN PABLO CUATRO VENADOS.</t>
  </si>
  <si>
    <t>0011 - LLANO MANTECA</t>
  </si>
  <si>
    <t>CONSTRUCCIÓN DE PISO FIRME PARA EL MEJORAMIENTO DE LA VIVIENDA, EN LA LOCALIDAD EL ZACATÓN, MUNICIPIO SAN PABLO CUATRO VENADOS.</t>
  </si>
  <si>
    <t>0018 - EL ZACATÓN</t>
  </si>
  <si>
    <t>CONSTRUCCIÓN DE PISO FIRME PARA EL MEJORAMIENTO DE LA VIVIENDA, EN LA LOCALIDAD SAN MIGUEL TILQUIÁPAM, MUNICIPIO SAN MIGUEL TILQUIÁPAM.</t>
  </si>
  <si>
    <t>25 - OCOTLÁN</t>
  </si>
  <si>
    <t>284 - SAN MIGUEL TILQUIÁPAM</t>
  </si>
  <si>
    <t>0001 - SAN MIGUEL TILQUIÁPAM</t>
  </si>
  <si>
    <t> -96.5797856625659</t>
  </si>
  <si>
    <t>CONSTRUCCIÓN DE PISO FIRME PARA EL MEJORAMIENTO DE LA VIVIENDA, EN LA LOCALIDAD SAN ISIDRO BUENAVISTA, MUNICIPIO SANTA MARÍA PEÑOLES.</t>
  </si>
  <si>
    <t>11 - ETLA</t>
  </si>
  <si>
    <t>426 - SANTA MARÍA PEÑOLES</t>
  </si>
  <si>
    <t>0014 - SAN ISIDRO BUENAVISTA</t>
  </si>
  <si>
    <t>CONSTRUCCIÓN DE PISO FIRME PARA EL MEJORAMIENTO DE LA VIVIENDA, EN LA LOCALIDAD CAÑADA DE HIELO, MUNICIPIO SANTA MARÍA PEÑOLES.</t>
  </si>
  <si>
    <t>0009 - CAÑADA DE HIELO</t>
  </si>
  <si>
    <t>CONSTRUCCIÓN DE PISO FIRME PARA EL MEJORAMIENTO DE LA VIVIENDA, EN LA LOCALIDAD EL CARRIZAL TEPANTEPEC, MUNICIPIO SANTA MARÍA PEÑOLES.</t>
  </si>
  <si>
    <t>0024 - EL CARRIZAL TEPANTEPEC</t>
  </si>
  <si>
    <t>CONSTRUCCIÓN DE PISO FIRME PARA EL MEJORAMIENTO DE LA VIVIENDA, EN LA LOCALIDAD EL MANZANITO, MUNICIPIO SANTA MARÍA PEÑOLES.</t>
  </si>
  <si>
    <t>0016 - EL MANZANITO</t>
  </si>
  <si>
    <t>CONSTRUCCIÓN DE PISO FIRME PARA EL MEJORAMIENTO DE LA VIVIENDA, EN LA LOCALIDAD RÍO DE MANZANITA, MUNICIPIO SANTA MARÍA PEÑOLES.</t>
  </si>
  <si>
    <t>0011 - RÍO DE MANZANITA</t>
  </si>
  <si>
    <t>CONSTRUCCIÓN DE PISO FIRME PARA EL MEJORAMIENTO DE LA VIVIENDA, EN LA LOCALIDAD DURAZNAL, MUNICIPIO SANTA MARÍA PEÑOLES.</t>
  </si>
  <si>
    <t>0007 - DURAZNAL</t>
  </si>
  <si>
    <t>CONSTRUCCIÓN DE PISO FIRME PARA EL MEJORAMIENTO DE LA VIVIENDA, EN LA LOCALIDAD BUENAVISTA, MUNICIPIO SANTIAGO IXTAYUTLA.</t>
  </si>
  <si>
    <t>21 - JAMILTEPEC</t>
  </si>
  <si>
    <t>466 - SANTIAGO IXTAYUTLA</t>
  </si>
  <si>
    <t>0002 - BUENAVISTA</t>
  </si>
  <si>
    <t>CONSTRUCCIÓN DE PISO FIRME PARA EL MEJORAMIENTO DE LA VIVIENDA, EN LA LOCALIDAD EL CARASOL, MUNICIPIO SANTIAGO IXTAYUTLA.</t>
  </si>
  <si>
    <t>0004 - EL CARASOL</t>
  </si>
  <si>
    <t>CONSTRUCCIÓN DE PISO FIRME PARA EL MEJORAMIENTO DE LA VIVIENDA, EN LA LOCALIDAD EL OCOTE, MUNICIPIO SANTIAGO IXTAYUTLA.</t>
  </si>
  <si>
    <t>0026 - EL OCOTE</t>
  </si>
  <si>
    <t>CONSTRUCCIÓN DE PISO FIRME PARA EL MEJORAMIENTO DE LA VIVIENDA, EN LA LOCALIDAD LAS TROJES, MUNICIPIO SANTIAGO IXTAYUTLA.</t>
  </si>
  <si>
    <t>0020 - LAS TROJES</t>
  </si>
  <si>
    <t>CONSTRUCCIÓN DE TECHO FIRME PARA EL MEJORAMIENTO DE LA VIVIENDA, EN LA LOCALIDAD LAS TRANCAS, MUNICIPIO SAN FRANCISCO TELIXTLAHUACA.</t>
  </si>
  <si>
    <t>150 - SAN FRANCISCO TELIXTLAHUACA</t>
  </si>
  <si>
    <t>0005 - LAS TRANCAS</t>
  </si>
  <si>
    <t>CONSTRUCCIÓN DE TECHO FIRME PARA EL MEJORAMIENTO DE LA VIVIENDA, EN LA LOCALIDAD FAUSTINO G. OLIVERA, MUNICIPIO SAN FRANCISCO TELIXTLAHUACA.</t>
  </si>
  <si>
    <t>0002 - FAUSTINO G. OLIVERA</t>
  </si>
  <si>
    <t>CONSTRUCCIÓN DE TECHO FIRME PARA EL MEJORAMIENTO DE LA VIVIENDA, EN LA LOCALIDAD EL NUEVO MANZANITO, MUNICIPIO SAN FRANCISCO TELIXTLAHUACA.</t>
  </si>
  <si>
    <t>0018 - EL NUEVO MANZANITO</t>
  </si>
  <si>
    <t>CONSTRUCCIÓN DE TECHO FIRME PARA EL MEJORAMIENTO DE LA VIVIENDA, EN LA LOCALIDAD TIERRA COLORADA, MUNICIPIO SAN FRANCISCO TELIXTLAHUACA.</t>
  </si>
  <si>
    <t>0022 - TIERRA COLORADA</t>
  </si>
  <si>
    <t>CONSTRUCCIÓN DE TECHO FIRME PARA EL MEJORAMIENTO DE LA VIVIENDA, EN LA LOCALIDAD EL MORAL, MUNICIPIO SAN FRANCISCO TELIXTLAHUACA.</t>
  </si>
  <si>
    <t>0025 - EL MORAL</t>
  </si>
  <si>
    <t>CONSTRUCCIÓN DE TECHO FIRME PARA EL MEJORAMIENTO DE LA VIVIENDA, EN LA LOCALIDAD LA CARBONERA, MUNICIPIO SAN FRANCISCO TELIXTLAHUACA.</t>
  </si>
  <si>
    <t>0013 - LA CARBONERA</t>
  </si>
  <si>
    <t>CONSTRUCCIÓN DE TECHO FIRME PARA EL MEJORAMIENTO DE LA VIVIENDA, EN LA LOCALIDAD SAN FRANCISCO TELIXTLAHUACA, MUNICIPIO SAN FRANCISCO TELIXTLAHUACA.</t>
  </si>
  <si>
    <t>0001 - SAN FRANCISCO TELIXTLAHUACA</t>
  </si>
  <si>
    <t>CONSTRUCCIÓN DE TECHO FIRME PARA EL MEJORAMIENTO DE LA VIVIENDA, EN LA LOCALIDAD BOCA DE LEÓN, MUNICIPIO SAN FRANCISCO TELIXTLAHUACA.</t>
  </si>
  <si>
    <t>0009 - BOCA DE LEÓN</t>
  </si>
  <si>
    <t>CONSTRUCCIÓN DE TECHO FIRME PARA EL MEJORAMIENTO DE LA VIVIENDA, EN LA LOCALIDAD CAÑADA LAS SEDAS, MUNICIPIO SAN FRANCISCO TELIXTLAHUACA.</t>
  </si>
  <si>
    <t>0030 - CAÑADA LAS SEDAS</t>
  </si>
  <si>
    <t>CONSTRUCCIÓN DE TECHO FIRME PARA EL MEJORAMIENTO DE LA VIVIENDA, EN LA LOCALIDAD DURAZNILLO, MUNICIPIO SAN FRANCISCO TELIXTLAHUACA.</t>
  </si>
  <si>
    <t>0015 - DURAZNILLO</t>
  </si>
  <si>
    <t>CONSTRUCCIÓN DE PISO FIRME PARA EL MEJORAMIENTO DE LA VIVIENDA, EN LA LOCALIDAD CHALMA YUTACUÁN, MUNICIPIO SANTA CRUZ NUNDACO.</t>
  </si>
  <si>
    <t>04 - MIXTECA</t>
  </si>
  <si>
    <t>16 - TLAXIACO</t>
  </si>
  <si>
    <t>379 - SANTA CRUZ NUNDACO</t>
  </si>
  <si>
    <t>0012 - CHALMA YUTACUÁN</t>
  </si>
  <si>
    <t>CONSTRUCCIÓN DE PISO FIRME PARA EL MEJORAMIENTO DE LA VIVIENDA, EN LA LOCALIDAD LOMA ÑUHU-CUA, MUNICIPIO SANTA CRUZ NUNDACO.</t>
  </si>
  <si>
    <t>0002 - LOMA ÑUHU-CUA</t>
  </si>
  <si>
    <t>CONSTRUCCIÓN DE PISO FIRME PARA EL MEJORAMIENTO DE LA VIVIENDA, EN LA LOCALIDAD NDOSTAYI, MUNICIPIO SANTA CRUZ NUNDACO.</t>
  </si>
  <si>
    <t>0007 - NDOSTAYI</t>
  </si>
  <si>
    <t>CONSTRUCCIÓN DE PISO FIRME PARA EL MEJORAMIENTO DE LA VIVIENDA, EN LA LOCALIDAD YUCUYA, MUNICIPIO SANTA CRUZ NUNDACO.</t>
  </si>
  <si>
    <t>0015 - YUCUYA</t>
  </si>
  <si>
    <t>CONSTRUCCIÓN DE PISO FIRME PARA EL MEJORAMIENTO DE LA VIVIENDA, EN LA LOCALIDAD OJO DE AGUA, MUNICIPIO SANTA CRUZ NUNDACO.</t>
  </si>
  <si>
    <t>0003 - OJO DE AGUA</t>
  </si>
  <si>
    <t>CONSTRUCCIÓN DE PISO FIRME PARA EL MEJORAMIENTO DE LA VIVIENDA, EN LA LOCALIDAD PLAN DE SAN ANTONIO, MUNICIPIO SANTA CRUZ NUNDACO.</t>
  </si>
  <si>
    <t>0011 - PLAN DE SAN ANTONIO</t>
  </si>
  <si>
    <t>CONSTRUCCIÓN DE PISO FIRME PARA EL MEJORAMIENTO DE LA VIVIENDA, EN LA LOCALIDAD PLAN DE GUADALUPE, MUNICIPIO SANTA CRUZ NUNDACO.</t>
  </si>
  <si>
    <t>0010 - PLAN DE GUADALUPE</t>
  </si>
  <si>
    <t>CONSTRUCCIÓN DE PISO FIRME PARA EL MEJORAMIENTO DE LA VIVIENDA, EN LA LOCALIDAD SAN ISIDRO VISTA HERMOSA, MUNICIPIO SANTA CRUZ NUNDACO.</t>
  </si>
  <si>
    <t>0004 - SAN ISIDRO VISTA HERMOSA</t>
  </si>
  <si>
    <t>CONSTRUCCIÓN DE PISO FIRME PARA EL MEJORAMIENTO DE LA VIVIENDA, EN LA LOCALIDAD SAN JOSÉ YATANDOYO, MUNICIPIO SANTA CRUZ NUNDACO.</t>
  </si>
  <si>
    <t>0005 - SAN JOSÉ YATANDOYO</t>
  </si>
  <si>
    <t>CONSTRUCCIÓN DE PISO FIRME PARA EL MEJORAMIENTO DE LA VIVIENDA, EN LA LOCALIDAD SANTA CRUZ NUNDACO, MUNICIPIO SANTA CRUZ NUNDACO.</t>
  </si>
  <si>
    <t>0001 - SANTA CRUZ NUNDACO</t>
  </si>
  <si>
    <t>CONSTRUCCIÓN DE PISO FIRME PARA EL MEJORAMIENTO DE LA VIVIENDA, EN LA LOCALIDAD YOSONGASHE, MUNICIPIO SANTA CRUZ NUNDACO.</t>
  </si>
  <si>
    <t>0013 - YOSONGASHE</t>
  </si>
  <si>
    <t>CONSTRUCCIÓN DE PISO FIRME PARA EL MEJORAMIENTO DE LA VIVIENDA, EN LA LOCALIDAD YOSOO ÑUU KUAA (SAN ISIDRO VISTA HERMOSA) [PARAJE], MUNICIPIO SANTA CRUZ NUNDACO.</t>
  </si>
  <si>
    <t>0006 - YOSOO ÑUU KUAA (SAN ISIDRO VISTA HERMOSA) [PARAJE]</t>
  </si>
  <si>
    <t>501 - CAMINOS BIENESTAR</t>
  </si>
  <si>
    <t>501001 - CAMINOS BIENESTAR</t>
  </si>
  <si>
    <t>REHABILITACIÓN DE LA CARRETERA CON CONCRETO ASFÁLTICO DEL E.C. (RIVERAS DEL ATOYAC - AV. MANUEL GÓMEZ MORÍN) - SAN ANDRÉS IXTLAHUACA, TRAMO DEL KM 0+000 AL KM 11+467 EN TRAMOS PARCIALES, EN LOS MUNICIPIOS DE SAN JACINTO AMILPAS, OAXACA DE JUÁREZ, SANTA MARÍA ATZOMPA, SAN PEDRO IXTLAHUACA Y SAN ANDRÉS IXTLAHUACA</t>
  </si>
  <si>
    <t>CCP - CARRETERAS, CAMINOS Y PUENTES</t>
  </si>
  <si>
    <t>092 - SAN ANDRÉS IXTLAHUACA</t>
  </si>
  <si>
    <t>0001 - SAN ANDRÉS IXTLAHUACA</t>
  </si>
  <si>
    <t xml:space="preserve">	-96.810364</t>
  </si>
  <si>
    <t>REHABILITACIÓN CON CONCRETO ASFÁLTICO DE CARRETERA SIN NOMBRE, JUCHITÁN DE ZARAGOZA - SANTA MARÍA XADANI, LÁZARO CÁRDENAS, TRAMO DEL KM 0+000 AL KM 8+400, SUBTRAMO DEL KM 0+800 AL KM 8+400, EN LOS MUNICIPIOS DE SANTA MARÍA XADANI Y JUCHITÁN DE ZARAGOZA.</t>
  </si>
  <si>
    <t>29 - JUCHITÁN</t>
  </si>
  <si>
    <t>441 - SANTA MARÍA XADANI</t>
  </si>
  <si>
    <t>0001 - SANTA MARÍA XADANI</t>
  </si>
  <si>
    <t>CONSTRUCCIÓN DE PISO FIRME PARA EL MEJORAMIENTO DE LA VIVIENDA, EN LA LOCALIDAD COYUL, MUNICIPIO COICOYÁN DE LAS FLORES.</t>
  </si>
  <si>
    <t>08 - JUXTLAHUACA</t>
  </si>
  <si>
    <t>016 - COICOYÁN DE LAS FLORES</t>
  </si>
  <si>
    <t>0002 - COYUL</t>
  </si>
  <si>
    <t>CONSTRUCCIÓN DE PISO FIRME PARA EL MEJORAMIENTO DE LA VIVIENDA, EN LA LOCALIDAD COICOYÁN DE LAS FLORES, MUNICIPIO COICOYÁN DE LAS FLORES.</t>
  </si>
  <si>
    <t>0001 - COICOYÁN DE LAS FLORES</t>
  </si>
  <si>
    <t>CONSTRUCCIÓN DE PISO FIRME PARA EL MEJORAMIENTO DE LA VIVIENDA, EN LA LOCALIDAD LLANO ENCINO AMARILLO, MUNICIPIO COICOYÁN DE LAS FLORES.</t>
  </si>
  <si>
    <t>0010 - LLANO ENCINO AMARILLO</t>
  </si>
  <si>
    <t>CONSTRUCCIÓN DE PISO FIRME PARA EL MEJORAMIENTO DE LA VIVIENDA, EN LA LOCALIDAD SANTIAGO TILAPA, MUNICIPIO COICOYÁN DE LAS FLORES.</t>
  </si>
  <si>
    <t>0005 - SANTIAGO TILAPA</t>
  </si>
  <si>
    <t>CONSTRUCCIÓN DE PISO FIRME PARA EL MEJORAMIENTO DE LA VIVIENDA, EN LA LOCALIDAD LAS LOMITAS, MUNICIPIO SANTA MARÍA PETAPA.</t>
  </si>
  <si>
    <t>427 - SANTA MARÍA PETAPA</t>
  </si>
  <si>
    <t>0030 - LAS LOMITAS</t>
  </si>
  <si>
    <t>CONSTRUCCIÓN DE PISO FIRME PARA EL MEJORAMIENTO DE LA VIVIENDA, EN LA LOCALIDAD EL BAJÍO, MUNICIPIO SANTA MARÍA PETAPA.</t>
  </si>
  <si>
    <t>0025 - EL BAJÍO</t>
  </si>
  <si>
    <t>CONSTRUCCIÓN DE PISO FIRME PARA EL MEJORAMIENTO DE LA VIVIENDA, EN LA LOCALIDAD LLANO SUCHIAPA, MUNICIPIO SANTA MARÍA PETAPA.</t>
  </si>
  <si>
    <t>0031 - LLANO SUCHIAPA</t>
  </si>
  <si>
    <t>CONSTRUCCIÓN DE PISO FIRME PARA EL MEJORAMIENTO DE LA VIVIENDA, EN LA LOCALIDAD SAN BARTOLO, MUNICIPIO SANTA MARÍA PETAPA.</t>
  </si>
  <si>
    <t>0032 - SAN BARTOLO</t>
  </si>
  <si>
    <t>CONSTRUCCIÓN DE PISO FIRME PARA EL MEJORAMIENTO DE LA VIVIENDA, EN LA LOCALIDAD SANTA MARÍA PETAPA, MUNICIPIO SANTA MARÍA PETAPA.</t>
  </si>
  <si>
    <t>0001 - SANTA MARÍA PETAPA</t>
  </si>
  <si>
    <t>CONSTRUCCIÓN DE PISO FIRME PARA EL MEJORAMIENTO DE LA VIVIENDA, EN LA LOCALIDAD LAS FLORES, MUNICIPIO SANTA MARÍA PETAPA.</t>
  </si>
  <si>
    <t>0026 - LAS FLORES</t>
  </si>
  <si>
    <t>CONSTRUCCIÓN DE PISO FIRME PARA EL MEJORAMIENTO DE LA VIVIENDA, EN LA LOCALIDAD RINCÓN VIEJO, MUNICIPIO SANTA MARÍA PETAPA.</t>
  </si>
  <si>
    <t>0010 - RINCÓN VIEJO</t>
  </si>
  <si>
    <t>CONSTRUCCIÓN DE PISO FIRME PARA EL MEJORAMIENTO DE LA VIVIENDA, EN LA LOCALIDAD HIDALGO NORTE, MUNICIPIO SANTA MARÍA PETAPA.</t>
  </si>
  <si>
    <t>0027 - HIDALGO NORTE</t>
  </si>
  <si>
    <t>CONSTRUCCIÓN DE PISO FIRME PARA EL MEJORAMIENTO DE LA VIVIENDA, EN LA LOCALIDAD SAN MIGUEL CHIMALAPA, MUNICIPIO SAN MIGUEL CHIMALAPA.</t>
  </si>
  <si>
    <t>265 - SAN MIGUEL CHIMALAPA</t>
  </si>
  <si>
    <t>0001 - SAN MIGUEL CHIMALAPA</t>
  </si>
  <si>
    <t>CONSTRUCCIÓN DE PISO FIRME PARA EL MEJORAMIENTO DE LA VIVIENDA, EN LA LOCALIDAD LOS LIMONES, MUNICIPIO SAN MIGUEL CHIMALAPA.</t>
  </si>
  <si>
    <t>0006 - LOS LIMONES</t>
  </si>
  <si>
    <t>REHABILITACIÓN CON CONCRETO ASFÁLTICO DE LA CARRETERA LA VENTA - SAN MIGUEL CHIMALAPA, TRAMO DEL KM 0+000 AL 23+280, SUBTRAMO DEL KM 6+000 AL KM 23+280, EN EL MUNICIPIO DE SAN MIGUEL CHIMALAPA</t>
  </si>
  <si>
    <t xml:space="preserve">	-94.784557</t>
  </si>
  <si>
    <t>532 - INSTITUTO OAXAQUEÑO CONSTRUCTOR DE INFRAESTRUCTURA EDUCATIVA</t>
  </si>
  <si>
    <t>532001 - INSTITUTO OAXAQUEÑO CONSTRUCTOR DE INFRAESTRUCTURA EDUCATIVA</t>
  </si>
  <si>
    <t>CONSTRUCCIÓN DE MURO DE CONTENCIÓN EN LA ESCUELA PRIMARIA "LIC. EDUARDO VASCONCELOS" C.C.T: 20DPB0606Y, EN LA LOCALIDAD DE SAN SIMÓN ZAHUATLÁN, MUNICIPIO DE SAN SIMÓN ZAHUATLÁN.</t>
  </si>
  <si>
    <t>EDI - EDUCACION E INVESTIGACION</t>
  </si>
  <si>
    <t>02 - HUAJUAPAN</t>
  </si>
  <si>
    <t>352 - SAN SIMÓN ZAHUATLÁN</t>
  </si>
  <si>
    <t>0001 - SAN SIMÓN ZAHUATLÁN</t>
  </si>
  <si>
    <t>512 - COMISIÓN ESTATAL DEL AGUA PARA EL BIENESTAR</t>
  </si>
  <si>
    <t>512001 - COMISIÓN ESTATAL DEL AGUA PARA EL BIENESTAR</t>
  </si>
  <si>
    <t>AMPLIACIÓN DEL SISTEMA DE AGUA POTABLE 2DA. ETAPA EN LA LOCALIDAD SANTA MARÍA TEMAXCALAPA, MUNICIPIO DE SANTA MARÍA TEMAXCALAPA</t>
  </si>
  <si>
    <t>06 - SIERRA DE JUÁREZ</t>
  </si>
  <si>
    <t>13 - VILLA ALTA</t>
  </si>
  <si>
    <t>432 - SANTA MARÍA TEMAXCALAPA</t>
  </si>
  <si>
    <t>0001 - SANTA MARÍA TEMAXCALAPA</t>
  </si>
  <si>
    <t>POLILINEA</t>
  </si>
  <si>
    <t>REHABILITACIÓN DE LA RED DE DISTRIBUCIÓN DEL SISTEMA DE AGUA POTABLE EN LA LOCALIDAD DE SANTA MARÍA ATZOMPA, MUNICIPIO DE SANTA MARÍA ATZOMPA</t>
  </si>
  <si>
    <t>399 - SANTA MARÍA ATZOMPA</t>
  </si>
  <si>
    <t>0001 - SANTA MARÍA ATZOMPA</t>
  </si>
  <si>
    <t xml:space="preserve"> -96.771046</t>
  </si>
  <si>
    <t xml:space="preserve"> -96.771136</t>
  </si>
  <si>
    <t xml:space="preserve"> -96.771362</t>
  </si>
  <si>
    <t xml:space="preserve"> -96.771500</t>
  </si>
  <si>
    <t xml:space="preserve"> -96.771652</t>
  </si>
  <si>
    <t xml:space="preserve"> -96.771766</t>
  </si>
  <si>
    <t xml:space="preserve"> -96.772190</t>
  </si>
  <si>
    <t xml:space="preserve"> -96.772508</t>
  </si>
  <si>
    <t xml:space="preserve"> -96.772640</t>
  </si>
  <si>
    <t xml:space="preserve"> -96.773058</t>
  </si>
  <si>
    <t xml:space="preserve"> -96.773515</t>
  </si>
  <si>
    <t xml:space="preserve"> -96.773586</t>
  </si>
  <si>
    <t xml:space="preserve"> -96.773707</t>
  </si>
  <si>
    <t xml:space="preserve"> -96.774082</t>
  </si>
  <si>
    <t xml:space="preserve"> -96.774275</t>
  </si>
  <si>
    <t xml:space="preserve"> -96.774484</t>
  </si>
  <si>
    <t xml:space="preserve"> -96.774551</t>
  </si>
  <si>
    <t xml:space="preserve"> -96.774815</t>
  </si>
  <si>
    <t xml:space="preserve"> -96.774950</t>
  </si>
  <si>
    <t xml:space="preserve"> -96.775335</t>
  </si>
  <si>
    <t xml:space="preserve"> -96.775510</t>
  </si>
  <si>
    <t xml:space="preserve"> -96.775940</t>
  </si>
  <si>
    <t xml:space="preserve"> -96.776193</t>
  </si>
  <si>
    <t xml:space="preserve"> -96.776485</t>
  </si>
  <si>
    <t xml:space="preserve"> -96.776773</t>
  </si>
  <si>
    <t xml:space="preserve"> -96.777046</t>
  </si>
  <si>
    <t xml:space="preserve"> -96.777330</t>
  </si>
  <si>
    <t xml:space="preserve"> -96.777558</t>
  </si>
  <si>
    <t xml:space="preserve"> -96.777893</t>
  </si>
  <si>
    <t xml:space="preserve"> -96.778130</t>
  </si>
  <si>
    <t xml:space="preserve"> -96.778279</t>
  </si>
  <si>
    <t xml:space="preserve"> -96.778382</t>
  </si>
  <si>
    <t xml:space="preserve"> -96.778550</t>
  </si>
  <si>
    <t>REHABILITACIÓN DE LA RED DE DRENAJE SANITARIO, EN LA LOCALIDAD DE SANTA MARÍA ATZOMPA, MUNICIPIO DE SANTA MARÍA ATZOMPA</t>
  </si>
  <si>
    <t>ALS - ALCANTARILLADO Y SANEAMIENTO</t>
  </si>
  <si>
    <t>AMPLIACIÓN DEL SISTEMA DE AGUA POTABLE EN LA LOCALIDAD BARRANCA FIERRO, MUNICIPIO SAN MIGUEL MIXTEPEC</t>
  </si>
  <si>
    <t>18 - ZIMATLÁN</t>
  </si>
  <si>
    <t>271 - SAN MIGUEL MIXTEPEC</t>
  </si>
  <si>
    <t>0003 - BARRANCA FIERRO</t>
  </si>
  <si>
    <t>REHABILITACIÓN DE LA CARRETERA SIN NOMBRE CON CONCRETO ASFÁLTICO (PLAYA SAN VICENTE - JUCHITÁN DE ZARAGOZA), TRAMO DEL KM 0+000 AL KM 7+800, SUBTRAMO DEL KM 0+000 AL KM 6+000, EN EL MUNICIPIO DE JUCHITÁN DE ZARAGOZA.</t>
  </si>
  <si>
    <t>043 - JUCHITÁN DE ZARAGOZA</t>
  </si>
  <si>
    <t>0025 - PLAYA SAN VICENTE</t>
  </si>
  <si>
    <t>REHABILITACIÓN DE LA RED DE DRENAJE SANITARIO EN LA CALLE MORELOS, SAN FELIPE DEL AGUA, LOCALIDAD DE OAXACA DE JUÁREZ, MUNICIPIO DE OAXACA DE JUÁREZ</t>
  </si>
  <si>
    <t>CONSTRUCCIÓN DE PISO FIRME PARA EL MEJORAMIENTO DE LA VIVIENDA, EN LA LOCALIDAD SANTO DOMINGO TIERRA Y LIBERTAD, MUNICIPIO SAN JUAN MIXTEPEC DISTRITO 08.</t>
  </si>
  <si>
    <t>208 - SAN JUAN MIXTEPEC -DTO. 08 -</t>
  </si>
  <si>
    <t>0091 - SANTO DOMINGO TIERRA Y LIBERTAD</t>
  </si>
  <si>
    <t>CONSTRUCCIÓN DE PISO FIRME PARA EL MEJORAMIENTO DE LA VIVIENDA, EN LA LOCALIDAD SAN PEDRO YOSOSCUÁ, MUNICIPIO SAN JUAN MIXTEPEC DISTRITO 08.</t>
  </si>
  <si>
    <t>0018 - SAN PEDRO YOSOSCUÁ</t>
  </si>
  <si>
    <t xml:space="preserve"> -97.809498</t>
  </si>
  <si>
    <t>CONSTRUCCIÓN DE PISO FIRME PARA EL MEJORAMIENTO DE LA VIVIENDA, EN LA LOCALIDAD YUCUMÍ, MUNICIPIO SAN JUAN MIXTEPEC DISTRITO 08.</t>
  </si>
  <si>
    <t>0048 - YUCUMÍ</t>
  </si>
  <si>
    <t>CONSTRUCCIÓN DE PISO FIRME PARA EL MEJORAMIENTO DE LA VIVIENDA, EN LA LOCALIDAD LA ESCONDIDA, MUNICIPIO SAN JUAN MIXTEPEC DISTRITO 08.</t>
  </si>
  <si>
    <t>0093 - LA ESCONDIDA</t>
  </si>
  <si>
    <t>CONSTRUCCIÓN DE PISO FIRME PARA EL MEJORAMIENTO DE LA VIVIENDA, EN LA LOCALIDAD RÍO VERDE, MUNICIPIO SAN JUAN MIXTEPEC DISTRITO 08.</t>
  </si>
  <si>
    <t>0014 - RÍO VERDE</t>
  </si>
  <si>
    <t>CONSTRUCCIÓN DE PISO FIRME PARA EL MEJORAMIENTO DE LA VIVIENDA, EN LA LOCALIDAD SANTA MARÍA TEPOSLANTONGO, MUNICIPIO SAN JUAN MIXTEPEC DISTRITO 08.</t>
  </si>
  <si>
    <t>0020 - SANTA MARÍA TEPOSLANTONGO</t>
  </si>
  <si>
    <t>CONSTRUCCIÓN DE PISO FIRME PARA EL MEJORAMIENTO DE LA VIVIENDA, EN LA LOCALIDAD OJO DE AGUA BLANCA, MUNICIPIO SAN JUAN MIXTEPEC DISTRITO 08.</t>
  </si>
  <si>
    <t>0066 - OJO DE AGUA BLANCA</t>
  </si>
  <si>
    <t>CONSTRUCCIÓN DE PISO FIRME PARA EL MEJORAMIENTO DE LA VIVIENDA, EN LA LOCALIDAD ESCONDIDO, MUNICIPIO SAN JUAN MIXTEPEC DISTRITO 08.</t>
  </si>
  <si>
    <t>0075 - ESCONDIDO</t>
  </si>
  <si>
    <t>CONSTRUCCIÓN DE PISO FIRME PARA EL MEJORAMIENTO DE LA VIVIENDA, EN LA LOCALIDAD SAN JUAN CAHUAYAXI, MUNICIPIO SAN JUAN MIXTEPEC DISTRITO 08.</t>
  </si>
  <si>
    <t>0015 - SAN JUAN CAHUAYAXI</t>
  </si>
  <si>
    <t>CONSTRUCCIÓN DE PISO FIRME PARA EL MEJORAMIENTO DE LA VIVIENDA, EN LA LOCALIDAD SAN LUCAS, MUNICIPIO SAN JUAN MIXTEPEC DISTRITO 08.</t>
  </si>
  <si>
    <t>0016 - SAN LUCAS</t>
  </si>
  <si>
    <t>CONSTRUCCIÓN DE PISO FIRME PARA EL MEJORAMIENTO DE LA VIVIENDA, EN LA LOCALIDAD SANTO DOMINGO VIEJO, MUNICIPIO SAN JUAN MIXTEPEC DISTRITO 08.</t>
  </si>
  <si>
    <t>0057 - SANTO DOMINGO VIEJO</t>
  </si>
  <si>
    <t>CONSTRUCCIÓN DE PISO FIRME PARA EL MEJORAMIENTO DE LA VIVIENDA, EN LA LOCALIDAD MESÓN DE GUADALUPE, MUNICIPIO SAN JUAN MIXTEPEC DISTRITO 08.</t>
  </si>
  <si>
    <t>0083 - MESÓN DE GUADALUPE</t>
  </si>
  <si>
    <t>106 - SECRETARÍA DE INFRAESTRUCTURAS Y COMUNICACIONES</t>
  </si>
  <si>
    <t>106001 - OFICINA DEL SECRETARIO DE INFRAESTRUCTURAS Y COMUNICACIONES</t>
  </si>
  <si>
    <t>CONSTRUCCIÓN DE ALUMBRADO PÚBLICO SOLAR SUSTENTABLE EN LAS CALLES 5 DE MAYO Y AV. HIDALGO, DE LA LOCALIDAD DE SAN JOSÉ GUELATOVÁ DE DÍAZ, MUNICIPIO DE ZIMATLÁN DE ÁLVAREZ</t>
  </si>
  <si>
    <t>URB - URBANIZACION</t>
  </si>
  <si>
    <t>570 - ZIMATLÁN DE ÁLVAREZ</t>
  </si>
  <si>
    <t>0096 - SAN JOSÉ GUELATOVÁ DE DÍAZ</t>
  </si>
  <si>
    <t>CONSTRUCCIÓN DE PAVIMENTO CON CONCRETO HIDRAULICO EN VARIAS CALLES DE LA LOCALIDAD DE MIAHUATLÁN DE PORFIRIO DÍAZ, EN EL MUNICIPIO DE MIAHUATLÁN DE PORFIRIO DÍAZ</t>
  </si>
  <si>
    <t>07 - SIERRA SUR</t>
  </si>
  <si>
    <t>26 - MIAHUATLÁN</t>
  </si>
  <si>
    <t>059 - MIAHUATLÁN DE PORFIRIO DÍAZ</t>
  </si>
  <si>
    <t>0001 - MIAHUATLÁN DE PORFIRIO DÍAZ</t>
  </si>
  <si>
    <t>EQUIPAMIENTO PARA LA ATENCIÓN DE ÁREAS VULNERABLES CON AGUA PARA USO Y CONSUMO HUMANO EN EL MUNICIPIO DE OAXACA DE JUÁREZ Y MUNICIPIOS CONURBADOS (SUMINISTRO DE TINACOS).</t>
  </si>
  <si>
    <t>115 - SAN BARTOLO COYOTEPEC</t>
  </si>
  <si>
    <t>0002 - REYES MANTECÓN</t>
  </si>
  <si>
    <t xml:space="preserve"> -96.734302</t>
  </si>
  <si>
    <t xml:space="preserve"> -96.730118</t>
  </si>
  <si>
    <t>AMPLIACIÓN DE LA RED DE DISTRIBUCIÓN DE ENERGÍA ELÉCTRICA EN VARIAS CALLES DE LA LOCALIDAD DE SAN FRANCISCO TELIXTLAHUACA, MUNICIPIO DE SAN FRANCISCO TELIXTLAHUACA</t>
  </si>
  <si>
    <t>ELE - ELECTRIFICACION</t>
  </si>
  <si>
    <t>MANTENIMIENTO DE LA BOCA BARRA DE LA PLAYA CORRALERO EN LA LOCALIDAD DE CORRALERO, MUNICIPIO DE SANTIAGO PINOTEPA NACIONAL</t>
  </si>
  <si>
    <t>DEP - DESARROLLO PESQUERO</t>
  </si>
  <si>
    <t>482 - SANTIAGO PINOTEPA NACIONAL</t>
  </si>
  <si>
    <t>0010 - CORRALERO</t>
  </si>
  <si>
    <t>CONSTRUCCIÓN DE ALUMBRADO PÚBLICO SUSTENTABLE EN LA LOCALIDAD DE LA CRUCECITA DEL MUNICIPIO DE SANTA MARÍA HUATULCO</t>
  </si>
  <si>
    <t>413 - SANTA MARÍA HUATULCO</t>
  </si>
  <si>
    <t>0078 - CRUCECITA</t>
  </si>
  <si>
    <t>CONSTRUCCION DE PAVIMENTO CON CONCRETO HIDRAULICO EN LA CALLE PONIENTE DOS, LOCALIDAD SAN JUAN BAUTISTA VALLE NACIONAL, MUNICIPIO DE SAN JUAN BAUTISTA VALLE NACIONAL</t>
  </si>
  <si>
    <t>05 - CUENCA DEL PAPALOAPAN</t>
  </si>
  <si>
    <t>06 - TUXTEPEC</t>
  </si>
  <si>
    <t>559 - SAN JUAN BAUTISTA VALLE NACIONAL</t>
  </si>
  <si>
    <t>0001 - SAN JUAN BAUTISTA VALLE NACIONAL</t>
  </si>
  <si>
    <t>REHABILITACIÓN CON CONCRETO ASFÁLTICO DE LA CARRETERA E.C. (HUAJUAPAN DE LEÓN - OAXACA) - SAN JUAN DEL ESTADO, DEL KM 0+000 AL KM 16+350, EN LOS MUNICIPIOS DE REYES ETLA, MAGDALENA APASCO Y SAN JUAN DEL ESTADO</t>
  </si>
  <si>
    <t>193 - SAN JUAN DEL ESTADO</t>
  </si>
  <si>
    <t>0001 - SAN JUAN DEL ESTADO</t>
  </si>
  <si>
    <t>CONSTRUCCIÓN DE TECHADO EN ÁREA DE IMPARTICIÓN DE EDUCACIÓN FÍSICA EN ESCUELA PRIMARIA BILINGÜE “IGNACIO ZARAGOZA” CON CLAVE ESCOLAR: 20DPB0644A, EN LA LOCALIDAD DE TIERRA BLANCA, MUNICIPIO DE TAMAZULÁPAM DEL ESPÍRITU SANTO.</t>
  </si>
  <si>
    <t>14 - MIXE</t>
  </si>
  <si>
    <t>031 - TAMAZULÁPAM DEL ESPÍRITU SANTO</t>
  </si>
  <si>
    <t>0007 - TIERRA BLANCA</t>
  </si>
  <si>
    <t>CONSTRUCCIÓN DE TECHADO EN ÁREA DE IMPARTICIÓN DE EDUCACIÓN FÍSICA EN ESCUELA SECUNDARIA GENERAL “RUFINO TAMAYO” CON CLAVE ESCOLAR: 20DES0138P, EN LA LOCALIDAD DE SAN MARCOS ARTEAGA, MUNICIPIO DE SAN MARCOS ARTEAGA.</t>
  </si>
  <si>
    <t>237 - SAN MARCOS ARTEAGA</t>
  </si>
  <si>
    <t>0001 - SAN MARCOS ARTEAGA</t>
  </si>
  <si>
    <t>CONSTRUCCIÓN DE TECHADO EN ÁREA DE IMPARTICIÓN DE EDUCACIÓN FÍSICA EN IEBO NÚM. 216 CON CLAVE ESCOLAR: 20ETH0216O, EN LA LOCALIDAD DE SANTA CRUZ NUNDACO, MUNICIPIO DE SANTA CRUZ NUNDACO.</t>
  </si>
  <si>
    <t>CONSTRUCCIÓN DE TECHADO EN ÁREA DE IMPARTICIÓN DE EDUCACIÓN FÍSICA EN ESCUELA SECUNDARIA GENERAL "GUADALUPE VICTORIA" CON CLAVE ESCOLAR: 20DES0228H, DE LA LOCALIDAD MAGDALENA TEQUISISTLÁN, MUNICIPIO DE MAGDALENA TEQUISISTLÁN.</t>
  </si>
  <si>
    <t>052 - MAGDALENA TEQUISISTLÁN</t>
  </si>
  <si>
    <t>0001 - MAGDALENA TEQUISISTLÁN</t>
  </si>
  <si>
    <t>128 - SECRETARÍA DE DESARROLLO ECONÓMICO</t>
  </si>
  <si>
    <t>128001 - OFICINA DEL SECRETARIO DE DESARROLLO ECONÓMICO</t>
  </si>
  <si>
    <t>PRESENCIA DE OAXACA EN EL MARCO DEL EVENTO DENOMINADO "EXPO ANTAD 2024"</t>
  </si>
  <si>
    <t>EAC - DESARROLLO ECONOMICO, ABASTO Y COMERCIALIZACION</t>
  </si>
  <si>
    <t>PROGRAMA DE ATENCIÓN A LA POBLACIÓN CON CARENCIA POR ACCESO A LOS SERVICIOS DE SALUD “FARMACIAS BIENESTAR” PARA EL EJERCICIO FISCAL 2024.</t>
  </si>
  <si>
    <t>919 - COBERTURA DISTRITAL CENTRO</t>
  </si>
  <si>
    <t>9999 - COBERTURA DISTRITAL CENTRO</t>
  </si>
  <si>
    <t xml:space="preserve"> -96.7496224</t>
  </si>
  <si>
    <t>REHABILITACIÓN DEL CAMINO SIN NOMBRE SAN JUAN BAUTISTA TLACOATZINTEPEC - LA SOLEDAD TRAMO DEL KM 0+000 AL KM 13+731, SUBTRAMO DEL KM 0+000 AL KM 11+500 DEL MUNICIPIO DE SAN JUAN BAUTISTA TLACOATZINTEPEC.</t>
  </si>
  <si>
    <t>01 - SIERRA DE FLORES MAGÓN</t>
  </si>
  <si>
    <t>05 - CUICATLÁN</t>
  </si>
  <si>
    <t>182 - SAN JUAN BAUTISTA TLACOATZINTEPEC</t>
  </si>
  <si>
    <t>0005 - LA SOLEDAD</t>
  </si>
  <si>
    <t>CONSTRUCCIÓN DE TECHADO EN ÁREA DE IMPARTICIÓN DE EDUCACIÓN FÍSICA EN COBAO NÚM.18 CON CLAVE ESCOLAR: 20ECB0019C EN LA LOCALIDAD VILLA DE SANTIAGO CHAZUMBA, MUNICIPIO DE VILLA DE SANTIAGO CHAZUMBA</t>
  </si>
  <si>
    <t>459 - VILLA DE SANTIAGO CHAZUMBA</t>
  </si>
  <si>
    <t>0001 - VILLA DE SANTIAGO CHAZUMBA</t>
  </si>
  <si>
    <t>CONSTRUCCIÓN DE TECHADO EN ÁREA DE IMPARTICIÓN DE EDUCACIÓN FÍSICA EN ESCUELA TELESECUNDARIA CON CLAVE ESCOLAR: 20DTV0629I, EN LA LOCALIDAD DE MAGUEY LARGO, MUNICIPIO DE SAN JOSÉ DEL PROGRESO.</t>
  </si>
  <si>
    <t>072 - SAN JOSÉ DEL PROGRESO</t>
  </si>
  <si>
    <t>0004 - MAGUEY LARGO</t>
  </si>
  <si>
    <t>CONSTRUCCIÓN DE ELECTRIFICACIÓN NO CONVENCIONAL MEDIANTE SISTEMA SOLAR FOTOVOLTAICO PARA LOS POZOS 1 Y 2 DEL SISTEMA DE AGUA POTABLE DE LA LOCALIDAD DE SANTIAGO HUAJOLOTITLÁN, MUNICIPIO DE SANTIAGO HUAJOLOTITLÁN</t>
  </si>
  <si>
    <t>462 - SANTIAGO HUAJOLOTITLÁN</t>
  </si>
  <si>
    <t>0001 - SANTIAGO HUAJOLOTITLÁN</t>
  </si>
  <si>
    <t>CONSTRUCCIÓN DE TECHADO EN ÁREA DE IMPARTICIÓN DE EDUCACIÓN FÍSICA EN ESCUELA PRIMARIA “IGNACIO ZARAGOZA” CON CLAVE ESCOLAR: 20DPR1158Q, EN LA LOCALIDAD SANTA MARÍA IXCATLÁN, MUNICIPIO DE SANTA MARÍA IXCATLÁN.</t>
  </si>
  <si>
    <t>04 - TEOTITLÁN</t>
  </si>
  <si>
    <t>416 - SANTA MARÍA IXCATLÁN</t>
  </si>
  <si>
    <t>0001 - SANTA MARÍA IXCATLÁN</t>
  </si>
  <si>
    <t>CONSTRUCCIÓN DE TECHADO EN ÁREA DE IMPARTICIÓN DE EDUCACIÓN FÍSICA EN ESCUELA SECUNDARIA TÉCNICA NÚM. 89 CON CLAVE ESCOLAR: 20DST0006Q, EN LA LOCALIDAD DE SANTO DOMINGO TONALÁ, MUNICIPIO DE SANTO DOMINGO TONALÁ.</t>
  </si>
  <si>
    <t>520 - SANTO DOMINGO TONALÁ</t>
  </si>
  <si>
    <t>0001 - SANTO DOMINGO TONALÁ</t>
  </si>
  <si>
    <t>541 - SISTEMA PARA EL DESARROLLO INTEGRAL DE LA FAMILIA DEL ESTADO DE OAXACA</t>
  </si>
  <si>
    <t>541001 - SISTEMA PARA EL DESARROLLO INTEGRAL DE LA FAMILIA DEL ESTADO DE OAXACA</t>
  </si>
  <si>
    <t>PROGRAMA DESAYUNO DE LETRITAS (PREESCOLAR)</t>
  </si>
  <si>
    <t>09 - COBERTURA ESTATAL</t>
  </si>
  <si>
    <t>99 - COBERTURA ESTATAL</t>
  </si>
  <si>
    <t>999 - COBERTURA ESTATAL</t>
  </si>
  <si>
    <t>9999 - COBERTURA ESTATAL</t>
  </si>
  <si>
    <t>PROGRAMA DESAYUNO DE LETRITAS (PRIMARIA)</t>
  </si>
  <si>
    <t>PROGRAMA DESAYUNO DE LETRITAS (SECUNDARIA)</t>
  </si>
  <si>
    <t>PROGRAMA LATIDO NUTRITIVO (LACTANTES DE 6 A 24 MESES)</t>
  </si>
  <si>
    <t>PROGRAMA LATIDO NUTRITIVO (MUJERES EMBARAZADAS O EN PERIODO DE LACTANCIA)</t>
  </si>
  <si>
    <t>PROGRAMA ITACATE DE MI CORAZÓN (INFANTES DE 2 A 5 AÑOS 11 MESES NO ESCOLARIZADOS)</t>
  </si>
  <si>
    <t>PROGRAMA ITACATE DE MI CORAZÓN (INFANTES DE 2 A 5 AÑOS CAICS)</t>
  </si>
  <si>
    <t>PROGRAMA ITACATE DE MI CORAZÓN (PERSONAS MAYORES)</t>
  </si>
  <si>
    <t>PROGRAMA ITACATE DE MI CORAZÓN (PERSONAS MAYORES CASAS DE DÍA)</t>
  </si>
  <si>
    <t>PROGRAMA ITACATE DE MI CORAZÓN (CARENCIA ALIMENTARIA)</t>
  </si>
  <si>
    <t>PROGRAMA ITACATE DE MI CORAZÓN (PERSONAS CON DISCAPACIDAD O EN SITUACIÓN DE ABANDONO)</t>
  </si>
  <si>
    <t>SUBPROGRAMA GUISOS DE MI PUEBLO (INFANTES DE 2 A 5 AÑOS 11 MESES NO ESCOLARIZADOS)</t>
  </si>
  <si>
    <t>SUBPROGRAMA GUISOS DE MI PUEBLO (PERSONAS MAYORES)</t>
  </si>
  <si>
    <t>SUBPROGRAMA GUISOS DE MI PUEBLO (PERSONAS CON DISCAPACIDAD O EN SITUACIÓN DE ABANDONO)</t>
  </si>
  <si>
    <t>SUBPROGRAMA GUISOS DE MI PUEBLO (CARENCIA ALIMENTARIA)</t>
  </si>
  <si>
    <t>PROGRAMA ALIMENTACIÓN SOLIDARIA</t>
  </si>
  <si>
    <t>ASISTENCIA ALIMENTARIA A CASA HOGAR 1 Y 2, CENTRO DE ASISTENCIA DE DESARROLLO INFANTIL 2 Y ESTANCIA INFANTIL</t>
  </si>
  <si>
    <t>ORIENTACIÓN A ESPACIOS ALIMENTARIOS DEL ESTADO DE OAXACA (PROGRAMA NUTRIR CON AMOR).</t>
  </si>
  <si>
    <t>CONSTRUCCIÓN DEL SISTEMA DE ALCANTARILLADO SANITARIO 1RA. ETAPA EN LA LOCALIDAD DE SAN VICENTE COATLÁN, MUNICIPIO DE SAN VICENTE COATLÁN</t>
  </si>
  <si>
    <t>24 - EJUTLA</t>
  </si>
  <si>
    <t>534 - SAN VICENTE COATLÁN</t>
  </si>
  <si>
    <t>0001 - SAN VICENTE COATLÁN</t>
  </si>
  <si>
    <t>CONSTRUCCIÓN DE TECHADO EN ÁREA DE IMPARTICIÓN DE EDUCACIÓN FÍSICA EN ESCUELA PRIMARIA “FRANCISCO I. MADERO” CON CLAVE ESCOLAR: 20DPR0670Z, EN LA LOCALIDAD DE SAN JUAN CACAHUATEPEC, MUNICIPIO DE SAN JUAN CACAHUATEPEC.</t>
  </si>
  <si>
    <t>185 - SAN JUAN CACAHUATEPEC</t>
  </si>
  <si>
    <t>0001 - SAN JUAN CACAHUATEPEC</t>
  </si>
  <si>
    <t>REHABILITACIÓN DE LA CARRETERA CON CONCRETO ASFÁLTICO (E.C. KM 65+930 (YUCUDAA - SANTIAGO PINOTEPA NACIONAL) - SANTA CATARINA YOSONUTÚ, TRAMO DEL KM 0+000 AL KM 5+500, EN LOS MUNICIPIOS DE HEROICA CIUDAD DE TLAXIACO Y SANTA CRUZ NUNDACO</t>
  </si>
  <si>
    <t>CONSTRUCCIÓN DE PISO FIRME PARA EL MEJORAMIENTO DE LA VIVIENDA, EN LA LOCALIDAD SAN BARTOLO, MUNICIPIO SAN JUAN BAUTISTA TUXTEPEC.</t>
  </si>
  <si>
    <t>184 - SAN JUAN BAUTISTA TUXTEPEC</t>
  </si>
  <si>
    <t>0050 - SAN BARTOLO</t>
  </si>
  <si>
    <t>CONSTRUCCIÓN DE PISO FIRME PARA EL MEJORAMIENTO DE LA VIVIENDA, EN LA LOCALIDAD LA MINA, MUNICIPIO SAN JUAN BAUTISTA TUXTEPEC.</t>
  </si>
  <si>
    <t>0034 - LA MINA</t>
  </si>
  <si>
    <t>CONSTRUCCIÓN DE PISO FIRME PARA EL MEJORAMIENTO DE LA VIVIENDA, EN LA LOCALIDAD BENEMÉRITO JUÁREZ, MUNICIPIO SAN JUAN BAUTISTA TUXTEPEC.</t>
  </si>
  <si>
    <t>0092 - BENEMÉRITO JUÁREZ</t>
  </si>
  <si>
    <t>CONSTRUCCIÓN DE PISO FIRME PARA EL MEJORAMIENTO DE LA VIVIENDA, EN LA LOCALIDAD SAN JUAN BAUTISTA TUXTEPEC, MUNICIPIO SAN JUAN BAUTISTA TUXTEPEC.</t>
  </si>
  <si>
    <t>0001 - SAN JUAN BAUTISTA TUXTEPEC</t>
  </si>
  <si>
    <t>CONSTRUCCIÓN DE PISO FIRME PARA EL MEJORAMIENTO DE LA VIVIENDA, EN LA LOCALIDAD SAN PABLO TIJALTEPEC, MUNICIPIO SAN PABLO TIJALTEPEC.</t>
  </si>
  <si>
    <t>297 - SAN PABLO TIJALTEPEC</t>
  </si>
  <si>
    <t>0001 - SAN PABLO TIJALTEPEC</t>
  </si>
  <si>
    <t>CONSTRUCCIÓN DE PISO FIRME PARA EL MEJORAMIENTO DE LA VIVIENDA, EN LA LOCALIDAD EL PORVENIR, MUNICIPIO SAN PABLO TIJALTEPEC.</t>
  </si>
  <si>
    <t>0004 - EL PORVENIR</t>
  </si>
  <si>
    <t>CONSTRUCCIÓN DE PISO FIRME PARA EL MEJORAMIENTO DE LA VIVIENDA, EN LA LOCALIDAD SAN LUCAS REDENCIÓN, MUNICIPIO SAN PABLO TIJALTEPEC.</t>
  </si>
  <si>
    <t>0009 - SAN LUCAS REDENCIÓN</t>
  </si>
  <si>
    <t>CONSTRUCCIÓN DE PISO FIRME PARA EL MEJORAMIENTO DE LA VIVIENDA, EN LA LOCALIDAD VISTA HERMOSA, MUNICIPIO SAN PABLO TIJALTEPEC.</t>
  </si>
  <si>
    <t>0012 - VISTA HERMOSA</t>
  </si>
  <si>
    <t>CONSTRUCCIÓN DE PISO FIRME PARA EL MEJORAMIENTO DE LA VIVIENDA, EN LA LOCALIDAD CANDELARIA LA UNIÓN, MUNICIPIO SAN PABLO TIJALTEPEC.</t>
  </si>
  <si>
    <t>0003 - CANDELARIA LA UNIÓN</t>
  </si>
  <si>
    <t>CONSTRUCCIÓN DE PISO FIRME PARA EL MEJORAMIENTO DE LA VIVIENDA, EN LA LOCALIDAD SAN MIGUEL PERAS, MUNICIPIO SAN MARTÍN PERAS.</t>
  </si>
  <si>
    <t>242 - SAN MARTÍN PERAS</t>
  </si>
  <si>
    <t>0010 - SAN MIGUEL PERAS</t>
  </si>
  <si>
    <t xml:space="preserve"> -98.240480</t>
  </si>
  <si>
    <t xml:space="preserve"> -98.239058</t>
  </si>
  <si>
    <t xml:space="preserve"> -98.239214</t>
  </si>
  <si>
    <t>CONSTRUCCIÓN DE PISO FIRME PARA EL MEJORAMIENTO DE LA VIVIENDA, EN LA LOCALIDAD LA ESCOPETA, MUNICIPIO SAN MARTÍN PERAS.</t>
  </si>
  <si>
    <t>0004 - LA ESCOPETA</t>
  </si>
  <si>
    <t>CONSTRUCCIÓN DE PISO FIRME PARA EL MEJORAMIENTO DE LA VIVIENDA, EN LA LOCALIDAD AHUEJUTLA, MUNICIPIO SAN MARTÍN PERAS.</t>
  </si>
  <si>
    <t>0002 - AHUEJUTLA</t>
  </si>
  <si>
    <t>CONSTRUCCIÓN DE PISO FIRME PARA EL MEJORAMIENTO DE LA VIVIENDA, EN LA LOCALIDAD JUCHITÁN DE ZARAGOZA, MUNICIPIO JUCHITÁN DE ZARAGOZA.</t>
  </si>
  <si>
    <t>0001 - JUCHITÁN DE ZARAGOZA</t>
  </si>
  <si>
    <t> -95.00477906078142</t>
  </si>
  <si>
    <t>CONSTRUCCIÓN DE TECHADO EN ÁREA DE IMPARTICIÓN DE EDUCACIÓN FÍSICA EN ESCUELA SECUNDARIA GENERAL "FELIPE CARRILLO PUERTO" CON CLAVE ESCOLAR: 20DES0120Q, EN LA LOCALIDAD DE SANTA MARÍA CAMOTLÁN, MUNICIPIO DE SANTA MARÍA CAMOTLÁN.</t>
  </si>
  <si>
    <t>400 - SANTA MARÍA CAMOTLÁN</t>
  </si>
  <si>
    <t>0001 - SANTA MARÍA CAMOTLÁN</t>
  </si>
  <si>
    <t>CONSTRUCCIÓN DE TECHADO EN ÁREA DE IMPARTICIÓN DE EDUCACIÓN FÍSICA EN ESCUELA PRIMARIA “AMADO NERVO” CON CLAVE ESCOLAR: 20DPR0963N, EN LA LOCALIDAD DE SAN PEDRO OCOPETATILLO, MUNICIPIO DE SAN PEDRO OCOPETATILLO.</t>
  </si>
  <si>
    <t>322 - SAN PEDRO OCOPETATILLO</t>
  </si>
  <si>
    <t>0001 - SAN PEDRO OCOPETATILLO</t>
  </si>
  <si>
    <t>CONSTRUCCIÓN DE TECHADO EN ÁREA DE IMPARTICIÓN DE EDUCACIÓN FÍSICA EN ESCUELA PRIMARIA “GUADALUPE VICTORIA” CON CLAVE ESCOLAR: 20DPB1654O, EN LA LOCALIDAD PIEDRA ANCHA, MUNICIPIO DE MAZATLÁN VILLA DE FLORES.</t>
  </si>
  <si>
    <t>058 - MAZATLÁN VILLA DE FLORES</t>
  </si>
  <si>
    <t>0033 - PIEDRA ANCHA</t>
  </si>
  <si>
    <t>568 - SISTEMA DE TRANSPORTE COLECTIVO METROPOLITANO CITYBUS OAXACA</t>
  </si>
  <si>
    <t>568001 - SISTEMA DE TRANSPORTE COLECTIVO METROPOLITANO CITYBUS OAXACA</t>
  </si>
  <si>
    <t>ACTUALIZACIÓN DEL DICTAMEN POR EXPERTO INDEPENDIENTE AL PROYECTO APOYO A LA MOVILIDAD URBANA Y RENOVACIÓN DEL PARQUE VEHICULAR EN OAXACA</t>
  </si>
  <si>
    <t>0051 - VIGUERA</t>
  </si>
  <si>
    <t>ACTUALIZACIÓN DEL MODELO DE NEGOCIO PARA LA OPERACIÓN DEL SISTEMA DE TRANSPORTE CITYBUS OAXACA.</t>
  </si>
  <si>
    <t>SERVICIO INTEGRAL PARA LA ADECUACIÓN Y MEJORA DE LOS MÓDULOS DE RECARGA DEL SISTEMA INTEGRAL DE TRANSPORTE COLECTIVO METROPOLITANO CITYBUS OAXACA.</t>
  </si>
  <si>
    <t>IGU - INFRAESTRUCTURA GUBERNAMENTAL</t>
  </si>
  <si>
    <t>PROMOCIÓN DE OAXACA EN EL MARCO DEL EVENTO DENOMINADO “LONGINES GLOBAL CHAMPIONS TOUR 2024”</t>
  </si>
  <si>
    <t>TIANGUIS TURÍSTICO MÉXICO ACAPULCO 2024</t>
  </si>
  <si>
    <t>CONSTRUCCIÓN DE LA CARRETERA SIN NOMBRE CON CONCRETO HIDRÁULICO DEL E.C. FEDERAL 135 (CUACNOPALAN - OAXACA CPO A) - (REYES ETLA - SAN ANDRES ZAUTLA) - E.C. FEDERAL 135 (CUACNOPALAN - OAXACA CPO B), TRAMO DEL KM 0+000 AL KM 2+060, SUBTRAMOS KM 0+000 AL KM 0+536, KM 0+637 AL KM 0+671 Y KM 1+485 AL KM 2+060, EN EL MUNICIPIO DE SAN ANDRÉS ZAUTLA</t>
  </si>
  <si>
    <t>102 - SAN ANDRÉS ZAUTLA</t>
  </si>
  <si>
    <t>0001 - SAN ANDRÉS ZAUTLA</t>
  </si>
  <si>
    <t>CONSTRUCCIÓN DE CARRETERA SIN NOMBRE CON CONCRETO HIDRÁULICO (E.C. KM 2+015 (SANTA MARÍA HUATULCO - CUAJINICUIL) - PUEBLO VIEJO), TRAMO DEL KM 0+000 AL KM 7+940, SUBTRAMOS DEL KM 0+085 AL KM 1+796 Y DEL KM 1+999 AL KM 3+085, EN EL MUNICIPIO DE SANTA MARÍA HUATULCO</t>
  </si>
  <si>
    <t>0023 - TODOS SANTOS</t>
  </si>
  <si>
    <t>CONSTRUCCIÓN DE PAVIMENTO CON CONCRETO HIDRÁULICO DEL CAMINO SIN NOMBRE E.C. (LA PRESA - MENGOLÍ DE MORELOS) – BRAMADEROS, TRAMO DEL KM 0+000 AL KM 7+700, SUBTRAMO DEL KM 0+000 AL KM 1+900, EN EL MUNICIPIO DE MIAHUATLÁN DE PORFIRIO DÍAZ</t>
  </si>
  <si>
    <t>0004 - BRAMADEROS</t>
  </si>
  <si>
    <t>CONSTRUCCIÓN DE PAVIMENTO CON CONCRETO HIDRÁULICO DEL CAMINO SAN ANTONIO NOPALERA - E.C. KM 79+780 (TEHUACÁN - HUITZO), TRAMO DEL KM 0+000 AL KM 18+000, SUBTRAMO DEL KM 0+000 AL KM 1+860, EN EL MUNICIPIO DE SAN JUAN DE LOS CUÉS</t>
  </si>
  <si>
    <t>206 - SAN JUAN DE LOS CUÉS</t>
  </si>
  <si>
    <t>0003 - SAN ANTONIO NOPALERA</t>
  </si>
  <si>
    <t>CONSTRUCCIÓN DE CARRETERA SIN NOMBRE CON CONCRETO HIDRÁULICO (SANTO DOMINGO ZANATEPEC - CARLOS RAMOS - YERBA SANTA), TRAMO DEL KM 0+000  AL KM 20+300, SUBTRAMO DEL KM 9+400 AL KM 12+400, EN EL MUNICIPIO DE SANTO DOMINGO ZANATEPEC</t>
  </si>
  <si>
    <t>525 - SANTO DOMINGO ZANATEPEC</t>
  </si>
  <si>
    <t>0003 - CARLOS RAMOS</t>
  </si>
  <si>
    <t>CONSTRUCCIÓN DE PAVIMENTO CON CONCRETO HIDRAÚLICO DEL CAMINO (TEOTITLÁN DE FLORES MAGÓN - IGNACIO MEJIA) TRAMO DEL KM 0+000 AL KM 5+600, SUBTRAMO DEL KM 0+000 AL KM 1+633 TRAMOS PARCIALES, EN EL MUNICIPIO DE TEOTITLÁN DE FLORES MAGÓN</t>
  </si>
  <si>
    <t>545 - TEOTITLÁN DE FLORES MAGÓN</t>
  </si>
  <si>
    <t>0002 - IGNACIO MEJÍA</t>
  </si>
  <si>
    <t xml:space="preserve">	-97.084786</t>
  </si>
  <si>
    <t xml:space="preserve">	-97.079059</t>
  </si>
  <si>
    <t>CONSTRUCCIÓN DE PAVIMENTO CON CONCRETO HIDRÁULICO DEL CAMINO SIN NOMBRE LAS JUNTAS - SAN PEDRO EL ALTO, TRAMO DEL KM 0+000 AL KM 2+400, SUBTRAMO DEL KM 0+000 AL KM 1+000, EN EL MUNICIPIO DE ZIMATLÁN DE ÁLVAREZ</t>
  </si>
  <si>
    <t>0004 - SAN PEDRO EL ALTO</t>
  </si>
  <si>
    <t>CONSTRUCCIÓN DE PAVIMENTO CON CONCRETO HIDRÁULICO DEL CAMINO SIN NOMBRE DE BARRANCA SECA - AGUA DE POZOL (SAN RAMÓN), TRAMO DEL KM 0+000 AL KM 4+000, SUBTRAMO DEL KM 0+660 AL KM 1+620, EN EL MUNICIPIO DE HUAUTLA DE JIMÉNEZ</t>
  </si>
  <si>
    <t>041 - HUAUTLA DE JIMÉNEZ</t>
  </si>
  <si>
    <t>0005 - BARRANCA SECA</t>
  </si>
  <si>
    <t>CONSTRUCCIÓN DE PAVIMENTO CON CONCRETO HIDRÁULICO DE E.C. (PROLONGACIÓN AVENIDA MORELOS) - SAN FELIPE DE LEÓN DEL KM 0+000 AL KM 7+060, SUBTRAMO DEL KM 1+000 AL KM 2+000, EN EL MUNICIPIO DE SAN JUAN BAUTISTA VALLE NACIONAL</t>
  </si>
  <si>
    <t>0029 - SAN FELIPE DE LEÓN</t>
  </si>
  <si>
    <t>CONSTRUCCIÓN DE LA CARRETERA SIN NOMBRE CON CONCRETO HIDRAULICO DEL E.C. 48+600 (LA VENTOSA - SAN PEDRO TAPANATEPEC) - LAS PETACAS, TRAMO DEL KM 0+000 AL KM 1+766, EN EL MUNICIPIO DE SANTIAGO NILTEPEC</t>
  </si>
  <si>
    <t>066 - SANTIAGO NILTEPEC</t>
  </si>
  <si>
    <t>0005 - LAS PETACAS</t>
  </si>
  <si>
    <t>CONSTRUCCIÓN DE LA CARRETERA SIN NOMBRE CON CONCRETO HIDRÁULICO DE REFORMA AGRARIA INTEGRAL - 20 DE NOVIEMBRE, TRAMO DEL KM 0+000 AL KM 2+036, EN EL MUNICIPIO DE SAN FRANCISCO IXHUATÁN</t>
  </si>
  <si>
    <t>143 - SAN FRANCISCO IXHUATÁN</t>
  </si>
  <si>
    <t>0006 - REFORMA AGRARIA INTEGRAL</t>
  </si>
  <si>
    <t>Notas:</t>
  </si>
  <si>
    <t>El presente reporte solamente incluye aquellas actividades que tengan presupuesto asignado</t>
  </si>
  <si>
    <t>La información que se presenta corresponde a los registros en el Sistema de Inversión (SI) realizados por las Unidades responsables</t>
  </si>
  <si>
    <t>La validez, veracidad y exactitud de la información es responsabilidad de cada unidad responsable.</t>
  </si>
  <si>
    <t>Area responsable de integrar la información</t>
  </si>
  <si>
    <t>Subsecretaria de Planeación e Inversión Pública/Dirección de Seguimiento a la Inversión/Coordinación de Análisis y Evaluación</t>
  </si>
  <si>
    <t>Fuente de Información:</t>
  </si>
  <si>
    <t>Sistema Estatal de  Finanzas Publicas de Oaxaca - Modulo de Planeación y Programación de la Inversión Pública</t>
  </si>
  <si>
    <t>3 - ISTMO</t>
  </si>
  <si>
    <t>4 - MIXTECA</t>
  </si>
  <si>
    <t>5 - CUENCA DEL PAPALOAPAN</t>
  </si>
  <si>
    <t>6 - SIERRA DE JUÁREZ</t>
  </si>
  <si>
    <t>7 - SIERRA SUR</t>
  </si>
  <si>
    <t>8 - VALLES CENTRALES</t>
  </si>
  <si>
    <t>9 - COBERTURA ESTATAL</t>
  </si>
  <si>
    <t>TOTAL</t>
  </si>
  <si>
    <t>OBRAS AUTORIZADAS</t>
  </si>
  <si>
    <t>1 - SIERRA DE FLORES MAGÓN</t>
  </si>
  <si>
    <t>2 -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</si>
</sst>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  <font>
      <i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0CC5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3D3D3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692400" cy="66675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692400" cy="666750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0</xdr:row>
      <xdr:rowOff>0</xdr:rowOff>
    </xdr:from>
    <xdr:ext cx="2990850" cy="71437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</xdr:row>
      <xdr:rowOff>0</xdr:rowOff>
    </xdr:from>
    <xdr:ext cx="7200900" cy="481012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</xdr:row>
      <xdr:rowOff>95250</xdr:rowOff>
    </xdr:from>
    <xdr:ext cx="285750" cy="285750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285750" cy="285750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285750" cy="285750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285750" cy="285750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285750" cy="285750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285750" cy="285750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285750" cy="285750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285750" cy="285750"/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428625" cy="285750"/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428625" cy="285750"/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3549650" cy="85725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549650" cy="857250"/>
        </a:xfrm>
        <a:prstGeom prst="rect">
          <a:avLst/>
        </a:prstGeom>
      </xdr:spPr>
    </xdr:pic>
    <xdr:clientData/>
  </xdr:oneCellAnchor>
  <xdr:oneCellAnchor>
    <xdr:from>
      <xdr:col>8</xdr:col>
      <xdr:colOff>762000</xdr:colOff>
      <xdr:row>0</xdr:row>
      <xdr:rowOff>0</xdr:rowOff>
    </xdr:from>
    <xdr:ext cx="3914775" cy="93345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maps.google.com/?q=17.777131,-96.3073851" TargetMode="External"/><Relationship Id="rId3182" Type="http://schemas.openxmlformats.org/officeDocument/2006/relationships/hyperlink" Target="https://maps.google.com/?q=16.4605302429866,-95.015389969121998" TargetMode="External"/><Relationship Id="rId3042" Type="http://schemas.openxmlformats.org/officeDocument/2006/relationships/hyperlink" Target="https://maps.google.com/?q=16.426625869924,-95.026409917481502" TargetMode="External"/><Relationship Id="rId170" Type="http://schemas.openxmlformats.org/officeDocument/2006/relationships/hyperlink" Target="https://maps.google.com/?q=16.7823285856839,-96.584103829774804" TargetMode="External"/><Relationship Id="rId987" Type="http://schemas.openxmlformats.org/officeDocument/2006/relationships/hyperlink" Target="https://maps.google.com/?q=17.379796,-96.161619999999999" TargetMode="External"/><Relationship Id="rId2668" Type="http://schemas.openxmlformats.org/officeDocument/2006/relationships/hyperlink" Target="https://maps.google.com/?q=18.05161552084,-96.148726934413205" TargetMode="External"/><Relationship Id="rId2875" Type="http://schemas.openxmlformats.org/officeDocument/2006/relationships/hyperlink" Target="https://maps.google.com/?q=17.0640295424612,-97.478200775463094" TargetMode="External"/><Relationship Id="rId847" Type="http://schemas.openxmlformats.org/officeDocument/2006/relationships/hyperlink" Target="https://maps.google.com/?q=16.713435,-94.749493999999999" TargetMode="External"/><Relationship Id="rId1477" Type="http://schemas.openxmlformats.org/officeDocument/2006/relationships/hyperlink" Target="https://maps.google.com/?q=16.78909004,-96.910610030000001" TargetMode="External"/><Relationship Id="rId1684" Type="http://schemas.openxmlformats.org/officeDocument/2006/relationships/hyperlink" Target="https://maps.google.com/?q=17.3868030027325,-97.913302317790993" TargetMode="External"/><Relationship Id="rId1891" Type="http://schemas.openxmlformats.org/officeDocument/2006/relationships/hyperlink" Target="https://maps.google.com/?q=15.746144,-96.465182999999996" TargetMode="External"/><Relationship Id="rId2528" Type="http://schemas.openxmlformats.org/officeDocument/2006/relationships/hyperlink" Target="https://maps.google.com/?q=16.386003607372853,-96.84419140829182" TargetMode="External"/><Relationship Id="rId2735" Type="http://schemas.openxmlformats.org/officeDocument/2006/relationships/hyperlink" Target="https://maps.google.com/?q=18.074805,-96.173275000000004" TargetMode="External"/><Relationship Id="rId2942" Type="http://schemas.openxmlformats.org/officeDocument/2006/relationships/hyperlink" Target="https://maps.google.com/?q=17.338458,-98.171046000000004" TargetMode="External"/><Relationship Id="rId707" Type="http://schemas.openxmlformats.org/officeDocument/2006/relationships/hyperlink" Target="https://maps.google.com/?q=17.2598837889981,-98.262657131282793" TargetMode="External"/><Relationship Id="rId914" Type="http://schemas.openxmlformats.org/officeDocument/2006/relationships/hyperlink" Target="https://maps.google.com/?q=16.7174165329828,-94.7447286723433" TargetMode="External"/><Relationship Id="rId1337" Type="http://schemas.openxmlformats.org/officeDocument/2006/relationships/hyperlink" Target="https://maps.google.com/?q=16.78728728,-96.914485310000003" TargetMode="External"/><Relationship Id="rId1544" Type="http://schemas.openxmlformats.org/officeDocument/2006/relationships/hyperlink" Target="https://maps.google.com/?q=16.78961146,-96.895041509999999" TargetMode="External"/><Relationship Id="rId1751" Type="http://schemas.openxmlformats.org/officeDocument/2006/relationships/hyperlink" Target="https://maps.google.com/?q=17.064103,-96.694606" TargetMode="External"/><Relationship Id="rId2802" Type="http://schemas.openxmlformats.org/officeDocument/2006/relationships/hyperlink" Target="https://maps.google.com/?q=18.0977086169904,-96.1608721449916" TargetMode="External"/><Relationship Id="rId43" Type="http://schemas.openxmlformats.org/officeDocument/2006/relationships/hyperlink" Target="https://maps.google.com/?q=16.9774902307007,-96.891590057706907" TargetMode="External"/><Relationship Id="rId1404" Type="http://schemas.openxmlformats.org/officeDocument/2006/relationships/hyperlink" Target="https://maps.google.com/?q=16.78844049,-96.894482769999996" TargetMode="External"/><Relationship Id="rId1611" Type="http://schemas.openxmlformats.org/officeDocument/2006/relationships/hyperlink" Target="https://maps.google.com/?q=17.101298294926565,-96.712830249807368" TargetMode="External"/><Relationship Id="rId497" Type="http://schemas.openxmlformats.org/officeDocument/2006/relationships/hyperlink" Target="https://maps.google.com/?q=17.305547250128,-96.897363582748" TargetMode="External"/><Relationship Id="rId2178" Type="http://schemas.openxmlformats.org/officeDocument/2006/relationships/hyperlink" Target="https://maps.google.com/?q=17.267449,-97.680485000000004" TargetMode="External"/><Relationship Id="rId2385" Type="http://schemas.openxmlformats.org/officeDocument/2006/relationships/hyperlink" Target="https://maps.google.com/?q=16.38161291815595,-96.846295517583684" TargetMode="External"/><Relationship Id="rId3229" Type="http://schemas.openxmlformats.org/officeDocument/2006/relationships/hyperlink" Target="https://maps.google.com/?q=16.564244,-96.731829000000005" TargetMode="External"/><Relationship Id="rId357" Type="http://schemas.openxmlformats.org/officeDocument/2006/relationships/hyperlink" Target="https://maps.google.com/?q=16.4995462884654,-97.782801411045099" TargetMode="External"/><Relationship Id="rId1194" Type="http://schemas.openxmlformats.org/officeDocument/2006/relationships/hyperlink" Target="https://maps.google.com/?q=17.103101,%20-96.774082" TargetMode="External"/><Relationship Id="rId2038" Type="http://schemas.openxmlformats.org/officeDocument/2006/relationships/hyperlink" Target="https://maps.google.com/?q=17.806621,-97.776161999999999" TargetMode="External"/><Relationship Id="rId2592" Type="http://schemas.openxmlformats.org/officeDocument/2006/relationships/hyperlink" Target="https://maps.google.com/?q=16.394586335465192,-96.844204118573415" TargetMode="External"/><Relationship Id="rId217" Type="http://schemas.openxmlformats.org/officeDocument/2006/relationships/hyperlink" Target="https://maps.google.com/?q=16.7857497763931,-96.581751929894594" TargetMode="External"/><Relationship Id="rId564" Type="http://schemas.openxmlformats.org/officeDocument/2006/relationships/hyperlink" Target="https://maps.google.com/?q=17.1755892839942,-98.195135658895495" TargetMode="External"/><Relationship Id="rId771" Type="http://schemas.openxmlformats.org/officeDocument/2006/relationships/hyperlink" Target="https://maps.google.com/?q=16.8218487915312,-95.116892600347001" TargetMode="External"/><Relationship Id="rId2245" Type="http://schemas.openxmlformats.org/officeDocument/2006/relationships/hyperlink" Target="https://maps.google.com/?q=17.511838,-97.488547999999994" TargetMode="External"/><Relationship Id="rId2452" Type="http://schemas.openxmlformats.org/officeDocument/2006/relationships/hyperlink" Target="https://maps.google.com/?q=16.384435583886717,-96.843933819775827" TargetMode="External"/><Relationship Id="rId424" Type="http://schemas.openxmlformats.org/officeDocument/2006/relationships/hyperlink" Target="https://maps.google.com/?q=17.406392,-96.928043000000002" TargetMode="External"/><Relationship Id="rId631" Type="http://schemas.openxmlformats.org/officeDocument/2006/relationships/hyperlink" Target="https://maps.google.com/?q=17.2783724415455,-98.280025317791001" TargetMode="External"/><Relationship Id="rId1054" Type="http://schemas.openxmlformats.org/officeDocument/2006/relationships/hyperlink" Target="https://maps.google.com/?q=17.380597,-96.162693000000004" TargetMode="External"/><Relationship Id="rId1261" Type="http://schemas.openxmlformats.org/officeDocument/2006/relationships/hyperlink" Target="https://maps.google.com/?q=16.78129843,-96.946050880000001" TargetMode="External"/><Relationship Id="rId2105" Type="http://schemas.openxmlformats.org/officeDocument/2006/relationships/hyperlink" Target="https://maps.google.com/?q=16.332014,-95.231966" TargetMode="External"/><Relationship Id="rId2312" Type="http://schemas.openxmlformats.org/officeDocument/2006/relationships/hyperlink" Target="https://maps.google.com/?q=16.237076,-97.292351999999994" TargetMode="External"/><Relationship Id="rId1121" Type="http://schemas.openxmlformats.org/officeDocument/2006/relationships/hyperlink" Target="https://maps.google.com/?q=17.381423,-96.161430999999993" TargetMode="External"/><Relationship Id="rId3086" Type="http://schemas.openxmlformats.org/officeDocument/2006/relationships/hyperlink" Target="https://maps.google.com/?q=16.4317334681521,&#160;-95.00477906078142" TargetMode="External"/><Relationship Id="rId3293" Type="http://schemas.openxmlformats.org/officeDocument/2006/relationships/hyperlink" Target="https://maps.google.com/?q=16.284784,-94.478969" TargetMode="External"/><Relationship Id="rId1938" Type="http://schemas.openxmlformats.org/officeDocument/2006/relationships/hyperlink" Target="https://maps.google.com/?q=17.267449,-97.680485000000004" TargetMode="External"/><Relationship Id="rId3153" Type="http://schemas.openxmlformats.org/officeDocument/2006/relationships/hyperlink" Target="https://maps.google.com/?q=16.4436054655287,-95.006180815709499" TargetMode="External"/><Relationship Id="rId281" Type="http://schemas.openxmlformats.org/officeDocument/2006/relationships/hyperlink" Target="https://maps.google.com/?q=17.0672531036952,-96.960816173324503" TargetMode="External"/><Relationship Id="rId3013" Type="http://schemas.openxmlformats.org/officeDocument/2006/relationships/hyperlink" Target="https://maps.google.com/?q=16.4244228201853,-95.015356717805602" TargetMode="External"/><Relationship Id="rId141" Type="http://schemas.openxmlformats.org/officeDocument/2006/relationships/hyperlink" Target="https://maps.google.com/?q=16.7803926642728,-96.577402703775704" TargetMode="External"/><Relationship Id="rId3220" Type="http://schemas.openxmlformats.org/officeDocument/2006/relationships/hyperlink" Target="https://maps.google.com/?q=18.13222,-97.070751000000001" TargetMode="External"/><Relationship Id="rId7" Type="http://schemas.openxmlformats.org/officeDocument/2006/relationships/hyperlink" Target="https://maps.google.com/?q=17.0784475941075,%09-96.71122686043876" TargetMode="External"/><Relationship Id="rId2779" Type="http://schemas.openxmlformats.org/officeDocument/2006/relationships/hyperlink" Target="https://maps.google.com/?q=18.0851985525469,-96.169925836805405" TargetMode="External"/><Relationship Id="rId2986" Type="http://schemas.openxmlformats.org/officeDocument/2006/relationships/hyperlink" Target="https://maps.google.com/?q=16.4149769086902,-95.026688475045603" TargetMode="External"/><Relationship Id="rId958" Type="http://schemas.openxmlformats.org/officeDocument/2006/relationships/hyperlink" Target="https://maps.google.com/?q=17.830112,-98.006436" TargetMode="External"/><Relationship Id="rId1588" Type="http://schemas.openxmlformats.org/officeDocument/2006/relationships/hyperlink" Target="https://maps.google.com/?q=16.79005348,-96.898257290000004" TargetMode="External"/><Relationship Id="rId1795" Type="http://schemas.openxmlformats.org/officeDocument/2006/relationships/hyperlink" Target="https://maps.google.com/?q=15.7732263,-96.138081900000003" TargetMode="External"/><Relationship Id="rId2639" Type="http://schemas.openxmlformats.org/officeDocument/2006/relationships/hyperlink" Target="https://maps.google.com/?q=17.9877056657093,-96.101395613327199" TargetMode="External"/><Relationship Id="rId2846" Type="http://schemas.openxmlformats.org/officeDocument/2006/relationships/hyperlink" Target="https://maps.google.com/?q=17.0372246737149,-97.508566041104501" TargetMode="External"/><Relationship Id="rId87" Type="http://schemas.openxmlformats.org/officeDocument/2006/relationships/hyperlink" Target="https://maps.google.com/?q=17.0083095307812,-96.890398576721196" TargetMode="External"/><Relationship Id="rId818" Type="http://schemas.openxmlformats.org/officeDocument/2006/relationships/hyperlink" Target="https://maps.google.com/?q=16.711909,-94.745638999999997" TargetMode="External"/><Relationship Id="rId1448" Type="http://schemas.openxmlformats.org/officeDocument/2006/relationships/hyperlink" Target="https://maps.google.com/?q=16.78881819,-96.912837280000005" TargetMode="External"/><Relationship Id="rId1655" Type="http://schemas.openxmlformats.org/officeDocument/2006/relationships/hyperlink" Target="https://maps.google.com/?q=17.335635,-97.876570999999998" TargetMode="External"/><Relationship Id="rId2706" Type="http://schemas.openxmlformats.org/officeDocument/2006/relationships/hyperlink" Target="https://maps.google.com/?q=18.0607291524797,-96.144891553984706" TargetMode="External"/><Relationship Id="rId1308" Type="http://schemas.openxmlformats.org/officeDocument/2006/relationships/hyperlink" Target="https://maps.google.com/?q=16.78662362,-96.908690669999999" TargetMode="External"/><Relationship Id="rId1862" Type="http://schemas.openxmlformats.org/officeDocument/2006/relationships/hyperlink" Target="https://maps.google.com/?q=16.237076,-97.292351999999994" TargetMode="External"/><Relationship Id="rId2913" Type="http://schemas.openxmlformats.org/officeDocument/2006/relationships/hyperlink" Target="https://maps.google.com/?q=17.3253665122766,-98.2403875702488" TargetMode="External"/><Relationship Id="rId1515" Type="http://schemas.openxmlformats.org/officeDocument/2006/relationships/hyperlink" Target="https://maps.google.com/?q=16.78930797,-96.907212099999995" TargetMode="External"/><Relationship Id="rId1722" Type="http://schemas.openxmlformats.org/officeDocument/2006/relationships/hyperlink" Target="https://maps.google.com/?q=16.788265,-96.791354999999996" TargetMode="External"/><Relationship Id="rId14" Type="http://schemas.openxmlformats.org/officeDocument/2006/relationships/hyperlink" Target="https://maps.google.com/?q=15.98032063,-95.676599850000002" TargetMode="External"/><Relationship Id="rId2289" Type="http://schemas.openxmlformats.org/officeDocument/2006/relationships/hyperlink" Target="https://maps.google.com/?q=16.564244,-96.731829000000005" TargetMode="External"/><Relationship Id="rId2496" Type="http://schemas.openxmlformats.org/officeDocument/2006/relationships/hyperlink" Target="https://maps.google.com/?q=16.38530199304129,-96.842771156640168" TargetMode="External"/><Relationship Id="rId468" Type="http://schemas.openxmlformats.org/officeDocument/2006/relationships/hyperlink" Target="https://maps.google.com/?q=17.42218,-96.931040999999993" TargetMode="External"/><Relationship Id="rId675" Type="http://schemas.openxmlformats.org/officeDocument/2006/relationships/hyperlink" Target="https://maps.google.com/?q=17.2568295641791,-98.260084398364" TargetMode="External"/><Relationship Id="rId882" Type="http://schemas.openxmlformats.org/officeDocument/2006/relationships/hyperlink" Target="https://maps.google.com/?q=16.715225,-94.745793000000006" TargetMode="External"/><Relationship Id="rId1098" Type="http://schemas.openxmlformats.org/officeDocument/2006/relationships/hyperlink" Target="https://maps.google.com/?q=17.381092,-96.160522999999998" TargetMode="External"/><Relationship Id="rId2149" Type="http://schemas.openxmlformats.org/officeDocument/2006/relationships/hyperlink" Target="https://maps.google.com/?q=17.331248,-96.487900999999994" TargetMode="External"/><Relationship Id="rId2356" Type="http://schemas.openxmlformats.org/officeDocument/2006/relationships/hyperlink" Target="https://maps.google.com/?q=17.027131,-96.077044000000001" TargetMode="External"/><Relationship Id="rId2563" Type="http://schemas.openxmlformats.org/officeDocument/2006/relationships/hyperlink" Target="https://maps.google.com/?q=16.38729325009442,-96.839653198806346" TargetMode="External"/><Relationship Id="rId2770" Type="http://schemas.openxmlformats.org/officeDocument/2006/relationships/hyperlink" Target="https://maps.google.com/?q=18.08393545576,-96.166781337175706" TargetMode="External"/><Relationship Id="rId328" Type="http://schemas.openxmlformats.org/officeDocument/2006/relationships/hyperlink" Target="https://maps.google.com/?q=16.5163910051461,-97.780758333341396" TargetMode="External"/><Relationship Id="rId535" Type="http://schemas.openxmlformats.org/officeDocument/2006/relationships/hyperlink" Target="https://maps.google.com/?q=17.1493103439768,-97.703806498355505" TargetMode="External"/><Relationship Id="rId742" Type="http://schemas.openxmlformats.org/officeDocument/2006/relationships/hyperlink" Target="https://maps.google.com/?q=16.8815688358114,-95.028653542328101" TargetMode="External"/><Relationship Id="rId1165" Type="http://schemas.openxmlformats.org/officeDocument/2006/relationships/hyperlink" Target="https://maps.google.com/?q=17.382427,-96.166228000000004" TargetMode="External"/><Relationship Id="rId1372" Type="http://schemas.openxmlformats.org/officeDocument/2006/relationships/hyperlink" Target="https://maps.google.com/?q=16.7879253,-96.914573090000005" TargetMode="External"/><Relationship Id="rId2009" Type="http://schemas.openxmlformats.org/officeDocument/2006/relationships/hyperlink" Target="https://maps.google.com/?q=18.081169,-96.118475000000004" TargetMode="External"/><Relationship Id="rId2216" Type="http://schemas.openxmlformats.org/officeDocument/2006/relationships/hyperlink" Target="https://maps.google.com/?q=17.724615,-97.323898" TargetMode="External"/><Relationship Id="rId2423" Type="http://schemas.openxmlformats.org/officeDocument/2006/relationships/hyperlink" Target="https://maps.google.com/?q=16.383846646134515,-96.84148217620816" TargetMode="External"/><Relationship Id="rId2630" Type="http://schemas.openxmlformats.org/officeDocument/2006/relationships/hyperlink" Target="https://maps.google.com/?q=17.985222196971,-96.101547302650204" TargetMode="External"/><Relationship Id="rId602" Type="http://schemas.openxmlformats.org/officeDocument/2006/relationships/hyperlink" Target="https://maps.google.com/?q=17.2728461252051,-98.275279999999995" TargetMode="External"/><Relationship Id="rId1025" Type="http://schemas.openxmlformats.org/officeDocument/2006/relationships/hyperlink" Target="https://maps.google.com/?q=17.380322,-96.161349999999999" TargetMode="External"/><Relationship Id="rId1232" Type="http://schemas.openxmlformats.org/officeDocument/2006/relationships/hyperlink" Target="https://maps.google.com/?q=17.103649627,-96.774840578" TargetMode="External"/><Relationship Id="rId3197" Type="http://schemas.openxmlformats.org/officeDocument/2006/relationships/hyperlink" Target="https://maps.google.com/?q=16.500512,-96.106790000000004" TargetMode="External"/><Relationship Id="rId3057" Type="http://schemas.openxmlformats.org/officeDocument/2006/relationships/hyperlink" Target="https://maps.google.com/?q=16.4283771844547,-95.009276597757903" TargetMode="External"/><Relationship Id="rId185" Type="http://schemas.openxmlformats.org/officeDocument/2006/relationships/hyperlink" Target="https://maps.google.com/?q=16.7831548690714,-96.583773273645406" TargetMode="External"/><Relationship Id="rId1909" Type="http://schemas.openxmlformats.org/officeDocument/2006/relationships/hyperlink" Target="https://maps.google.com/?q=17.331248,-96.487900999999994" TargetMode="External"/><Relationship Id="rId3264" Type="http://schemas.openxmlformats.org/officeDocument/2006/relationships/hyperlink" Target="https://maps.google.com/?q=16.385491,-96.589867" TargetMode="External"/><Relationship Id="rId392" Type="http://schemas.openxmlformats.org/officeDocument/2006/relationships/hyperlink" Target="https://maps.google.com/?q=16.4915382915901,-97.580426999999901" TargetMode="External"/><Relationship Id="rId2073" Type="http://schemas.openxmlformats.org/officeDocument/2006/relationships/hyperlink" Target="https://maps.google.com/?q=16.279058,-97.820240999999996" TargetMode="External"/><Relationship Id="rId2280" Type="http://schemas.openxmlformats.org/officeDocument/2006/relationships/hyperlink" Target="https://maps.google.com/?q=18.13222,-97.070751000000001" TargetMode="External"/><Relationship Id="rId3124" Type="http://schemas.openxmlformats.org/officeDocument/2006/relationships/hyperlink" Target="https://maps.google.com/?q=16.439224786175,-95.030109644960604" TargetMode="External"/><Relationship Id="rId252" Type="http://schemas.openxmlformats.org/officeDocument/2006/relationships/hyperlink" Target="https://maps.google.com/?q=16.9682891363734,-97.031996419999999" TargetMode="External"/><Relationship Id="rId2140" Type="http://schemas.openxmlformats.org/officeDocument/2006/relationships/hyperlink" Target="https://maps.google.com/?q=16.791625,-96.674999" TargetMode="External"/><Relationship Id="rId112" Type="http://schemas.openxmlformats.org/officeDocument/2006/relationships/hyperlink" Target="https://maps.google.com/?q=16.9759546974687,-96.908949059493906" TargetMode="External"/><Relationship Id="rId1699" Type="http://schemas.openxmlformats.org/officeDocument/2006/relationships/hyperlink" Target="https://maps.google.com/?q=17.3099766725661,-97.942257328870795" TargetMode="External"/><Relationship Id="rId2000" Type="http://schemas.openxmlformats.org/officeDocument/2006/relationships/hyperlink" Target="https://maps.google.com/?q=17.335316,-98.012051" TargetMode="External"/><Relationship Id="rId2957" Type="http://schemas.openxmlformats.org/officeDocument/2006/relationships/hyperlink" Target="https://maps.google.com/?q=17.430209,-98.290799000000007" TargetMode="External"/><Relationship Id="rId929" Type="http://schemas.openxmlformats.org/officeDocument/2006/relationships/hyperlink" Target="https://maps.google.com/?q=16.674885,-94.775324999999995" TargetMode="External"/><Relationship Id="rId1559" Type="http://schemas.openxmlformats.org/officeDocument/2006/relationships/hyperlink" Target="https://maps.google.com/?q=16.78977133,-96.893626650000002" TargetMode="External"/><Relationship Id="rId1766" Type="http://schemas.openxmlformats.org/officeDocument/2006/relationships/hyperlink" Target="https://maps.google.com/?q=17.310593,-96.911602999999999" TargetMode="External"/><Relationship Id="rId1973" Type="http://schemas.openxmlformats.org/officeDocument/2006/relationships/hyperlink" Target="https://maps.google.com/?q=17.458341,-97.225285" TargetMode="External"/><Relationship Id="rId2817" Type="http://schemas.openxmlformats.org/officeDocument/2006/relationships/hyperlink" Target="https://maps.google.com/?q=17.0140870256199,-97.499491311678298" TargetMode="External"/><Relationship Id="rId58" Type="http://schemas.openxmlformats.org/officeDocument/2006/relationships/hyperlink" Target="https://maps.google.com/?q=16.9801975178929,-96.890422323908098" TargetMode="External"/><Relationship Id="rId1419" Type="http://schemas.openxmlformats.org/officeDocument/2006/relationships/hyperlink" Target="https://maps.google.com/?q=16.78859828,-96.914082899999997" TargetMode="External"/><Relationship Id="rId1626" Type="http://schemas.openxmlformats.org/officeDocument/2006/relationships/hyperlink" Target="https://maps.google.com/?q=17.257276,%20-97.809498" TargetMode="External"/><Relationship Id="rId1833" Type="http://schemas.openxmlformats.org/officeDocument/2006/relationships/hyperlink" Target="https://maps.google.com/?q=17.026619,-96.046970" TargetMode="External"/><Relationship Id="rId1900" Type="http://schemas.openxmlformats.org/officeDocument/2006/relationships/hyperlink" Target="https://maps.google.com/?q=16.791625,-96.674999" TargetMode="External"/><Relationship Id="rId579" Type="http://schemas.openxmlformats.org/officeDocument/2006/relationships/hyperlink" Target="https://maps.google.com/?q=17.1807544401756,-98.197827000000004" TargetMode="External"/><Relationship Id="rId786" Type="http://schemas.openxmlformats.org/officeDocument/2006/relationships/hyperlink" Target="https://maps.google.com/?q=16.888462,-95.040126000000001" TargetMode="External"/><Relationship Id="rId993" Type="http://schemas.openxmlformats.org/officeDocument/2006/relationships/hyperlink" Target="https://maps.google.com/?q=17.379945,-96.160375000000002" TargetMode="External"/><Relationship Id="rId2467" Type="http://schemas.openxmlformats.org/officeDocument/2006/relationships/hyperlink" Target="https://maps.google.com/?q=16.384611067606137,-96.842440919540067" TargetMode="External"/><Relationship Id="rId2674" Type="http://schemas.openxmlformats.org/officeDocument/2006/relationships/hyperlink" Target="https://maps.google.com/?q=18.0521989480296,-96.140088414707904" TargetMode="External"/><Relationship Id="rId439" Type="http://schemas.openxmlformats.org/officeDocument/2006/relationships/hyperlink" Target="https://maps.google.com/?q=17.41022231,-97.014075199999994" TargetMode="External"/><Relationship Id="rId646" Type="http://schemas.openxmlformats.org/officeDocument/2006/relationships/hyperlink" Target="https://maps.google.com/?q=17.22013998,-98.19177148" TargetMode="External"/><Relationship Id="rId1069" Type="http://schemas.openxmlformats.org/officeDocument/2006/relationships/hyperlink" Target="https://maps.google.com/?q=17.380795,-96.164078000000003" TargetMode="External"/><Relationship Id="rId1276" Type="http://schemas.openxmlformats.org/officeDocument/2006/relationships/hyperlink" Target="https://maps.google.com/?q=16.78225011,-96.942625309999997" TargetMode="External"/><Relationship Id="rId1483" Type="http://schemas.openxmlformats.org/officeDocument/2006/relationships/hyperlink" Target="https://maps.google.com/?q=16.78912562,-96.909522539999998" TargetMode="External"/><Relationship Id="rId2327" Type="http://schemas.openxmlformats.org/officeDocument/2006/relationships/hyperlink" Target="https://maps.google.com/?q=17.207464,-96.801094000000006" TargetMode="External"/><Relationship Id="rId2881" Type="http://schemas.openxmlformats.org/officeDocument/2006/relationships/hyperlink" Target="https://maps.google.com/?q=17.0055221728407,-97.511462576686597" TargetMode="External"/><Relationship Id="rId506" Type="http://schemas.openxmlformats.org/officeDocument/2006/relationships/hyperlink" Target="https://maps.google.com/?q=17.326529,-96.942539999999994" TargetMode="External"/><Relationship Id="rId853" Type="http://schemas.openxmlformats.org/officeDocument/2006/relationships/hyperlink" Target="https://maps.google.com/?q=16.7138654059348,-94.748834472387401" TargetMode="External"/><Relationship Id="rId1136" Type="http://schemas.openxmlformats.org/officeDocument/2006/relationships/hyperlink" Target="https://maps.google.com/?q=17.381684,-96.160413000000005" TargetMode="External"/><Relationship Id="rId1690" Type="http://schemas.openxmlformats.org/officeDocument/2006/relationships/hyperlink" Target="https://maps.google.com/?q=17.276637,-97.867914999999996" TargetMode="External"/><Relationship Id="rId2534" Type="http://schemas.openxmlformats.org/officeDocument/2006/relationships/hyperlink" Target="https://maps.google.com/?q=16.386222996715492,-96.844455860759382" TargetMode="External"/><Relationship Id="rId2741" Type="http://schemas.openxmlformats.org/officeDocument/2006/relationships/hyperlink" Target="https://maps.google.com/?q=18.0761426457269,-96.170569069105895" TargetMode="External"/><Relationship Id="rId713" Type="http://schemas.openxmlformats.org/officeDocument/2006/relationships/hyperlink" Target="https://maps.google.com/?q=17.260181844844,-98.261063341104503" TargetMode="External"/><Relationship Id="rId920" Type="http://schemas.openxmlformats.org/officeDocument/2006/relationships/hyperlink" Target="https://maps.google.com/?q=16.6735658891821,-94.776131462125903" TargetMode="External"/><Relationship Id="rId1343" Type="http://schemas.openxmlformats.org/officeDocument/2006/relationships/hyperlink" Target="https://maps.google.com/?q=16.78738189,-96.913278899999995" TargetMode="External"/><Relationship Id="rId1550" Type="http://schemas.openxmlformats.org/officeDocument/2006/relationships/hyperlink" Target="https://maps.google.com/?q=16.78967534,-96.903234269999999" TargetMode="External"/><Relationship Id="rId2601" Type="http://schemas.openxmlformats.org/officeDocument/2006/relationships/hyperlink" Target="https://maps.google.com/?q=16.39587615440224,-96.841763282132746" TargetMode="External"/><Relationship Id="rId1203" Type="http://schemas.openxmlformats.org/officeDocument/2006/relationships/hyperlink" Target="https://maps.google.com/?q=17.103881,%20-96.776193" TargetMode="External"/><Relationship Id="rId1410" Type="http://schemas.openxmlformats.org/officeDocument/2006/relationships/hyperlink" Target="https://maps.google.com/?q=16.78850145,-96.897399449999995" TargetMode="External"/><Relationship Id="rId3168" Type="http://schemas.openxmlformats.org/officeDocument/2006/relationships/hyperlink" Target="https://maps.google.com/?q=16.449685427218,-95.019346332680598" TargetMode="External"/><Relationship Id="rId296" Type="http://schemas.openxmlformats.org/officeDocument/2006/relationships/hyperlink" Target="https://maps.google.com/?q=16.6155471387785,-97.788071542327899" TargetMode="External"/><Relationship Id="rId2184" Type="http://schemas.openxmlformats.org/officeDocument/2006/relationships/hyperlink" Target="https://maps.google.com/?q=17.501442,-98.142583999999999" TargetMode="External"/><Relationship Id="rId2391" Type="http://schemas.openxmlformats.org/officeDocument/2006/relationships/hyperlink" Target="https://maps.google.com/?q=16.382443599789596,-96.841885396057535" TargetMode="External"/><Relationship Id="rId3028" Type="http://schemas.openxmlformats.org/officeDocument/2006/relationships/hyperlink" Target="https://maps.google.com/?q=16.4257797616044,-95.015451992814405" TargetMode="External"/><Relationship Id="rId3235" Type="http://schemas.openxmlformats.org/officeDocument/2006/relationships/hyperlink" Target="https://maps.google.com/?q=17.027131,-96.077044000000001" TargetMode="External"/><Relationship Id="rId156" Type="http://schemas.openxmlformats.org/officeDocument/2006/relationships/hyperlink" Target="https://maps.google.com/?q=16.7809909339621,-96.584209915344303" TargetMode="External"/><Relationship Id="rId363" Type="http://schemas.openxmlformats.org/officeDocument/2006/relationships/hyperlink" Target="https://maps.google.com/?q=16.5002379877922,-97.781255099747696" TargetMode="External"/><Relationship Id="rId570" Type="http://schemas.openxmlformats.org/officeDocument/2006/relationships/hyperlink" Target="https://maps.google.com/?q=17.1766020026974,-98.194648341104497" TargetMode="External"/><Relationship Id="rId2044" Type="http://schemas.openxmlformats.org/officeDocument/2006/relationships/hyperlink" Target="https://maps.google.com/?q=16.328751,-96.596529000000004" TargetMode="External"/><Relationship Id="rId2251" Type="http://schemas.openxmlformats.org/officeDocument/2006/relationships/hyperlink" Target="https://maps.google.com/?q=15.746144,-96.465182999999996" TargetMode="External"/><Relationship Id="rId223" Type="http://schemas.openxmlformats.org/officeDocument/2006/relationships/hyperlink" Target="https://maps.google.com/?q=16.9778316058825,-97.0537931816406" TargetMode="External"/><Relationship Id="rId430" Type="http://schemas.openxmlformats.org/officeDocument/2006/relationships/hyperlink" Target="https://maps.google.com/?q=17.40869478,-97.012696020000007" TargetMode="External"/><Relationship Id="rId1060" Type="http://schemas.openxmlformats.org/officeDocument/2006/relationships/hyperlink" Target="https://maps.google.com/?q=17.380693,-96.163908000000006" TargetMode="External"/><Relationship Id="rId2111" Type="http://schemas.openxmlformats.org/officeDocument/2006/relationships/hyperlink" Target="https://maps.google.com/?q=16.866371,-96.785623000000001" TargetMode="External"/><Relationship Id="rId1877" Type="http://schemas.openxmlformats.org/officeDocument/2006/relationships/hyperlink" Target="https://maps.google.com/?q=17.207464,-96.801094000000006" TargetMode="External"/><Relationship Id="rId2928" Type="http://schemas.openxmlformats.org/officeDocument/2006/relationships/hyperlink" Target="https://maps.google.com/?q=17.3372952441213,-98.1701109300594" TargetMode="External"/><Relationship Id="rId1737" Type="http://schemas.openxmlformats.org/officeDocument/2006/relationships/hyperlink" Target="https://maps.google.com/?q=16.327956564923163,-96.58634081349183" TargetMode="External"/><Relationship Id="rId1944" Type="http://schemas.openxmlformats.org/officeDocument/2006/relationships/hyperlink" Target="https://maps.google.com/?q=17.501442,-98.142583999999999" TargetMode="External"/><Relationship Id="rId3092" Type="http://schemas.openxmlformats.org/officeDocument/2006/relationships/hyperlink" Target="https://maps.google.com/?q=16.4330797561549,-95.032438532795197" TargetMode="External"/><Relationship Id="rId29" Type="http://schemas.openxmlformats.org/officeDocument/2006/relationships/hyperlink" Target="https://maps.google.com/?q=15.98764303,-95.67890337" TargetMode="External"/><Relationship Id="rId1804" Type="http://schemas.openxmlformats.org/officeDocument/2006/relationships/hyperlink" Target="https://maps.google.com/?q=15.7733076,-96.142221699999993" TargetMode="External"/><Relationship Id="rId897" Type="http://schemas.openxmlformats.org/officeDocument/2006/relationships/hyperlink" Target="https://maps.google.com/?q=16.715755,-94.749668" TargetMode="External"/><Relationship Id="rId2578" Type="http://schemas.openxmlformats.org/officeDocument/2006/relationships/hyperlink" Target="https://maps.google.com/?q=16.388109819580713,-96.837974320985325" TargetMode="External"/><Relationship Id="rId2785" Type="http://schemas.openxmlformats.org/officeDocument/2006/relationships/hyperlink" Target="https://maps.google.com/?q=18.087912,-96.170660999999996" TargetMode="External"/><Relationship Id="rId2992" Type="http://schemas.openxmlformats.org/officeDocument/2006/relationships/hyperlink" Target="https://maps.google.com/?q=16.4211392533368,-95.018956148686499" TargetMode="External"/><Relationship Id="rId757" Type="http://schemas.openxmlformats.org/officeDocument/2006/relationships/hyperlink" Target="https://maps.google.com/?q=16.8179732888939,-95.119015000000005" TargetMode="External"/><Relationship Id="rId964" Type="http://schemas.openxmlformats.org/officeDocument/2006/relationships/hyperlink" Target="https://maps.google.com/?q=17.378839,-96.158972000000006" TargetMode="External"/><Relationship Id="rId1387" Type="http://schemas.openxmlformats.org/officeDocument/2006/relationships/hyperlink" Target="https://maps.google.com/?q=16.78813283,-96.896014940000001" TargetMode="External"/><Relationship Id="rId1594" Type="http://schemas.openxmlformats.org/officeDocument/2006/relationships/hyperlink" Target="https://maps.google.com/?q=16.79015927,-96.899182269999997" TargetMode="External"/><Relationship Id="rId2438" Type="http://schemas.openxmlformats.org/officeDocument/2006/relationships/hyperlink" Target="https://maps.google.com/?q=16.38425588226357,-96.844272057150405" TargetMode="External"/><Relationship Id="rId2645" Type="http://schemas.openxmlformats.org/officeDocument/2006/relationships/hyperlink" Target="https://maps.google.com/?q=18.1193007897782,-96.002512198097406" TargetMode="External"/><Relationship Id="rId2852" Type="http://schemas.openxmlformats.org/officeDocument/2006/relationships/hyperlink" Target="https://maps.google.com/?q=17.0424878738604,-97.5103349999995" TargetMode="External"/><Relationship Id="rId93" Type="http://schemas.openxmlformats.org/officeDocument/2006/relationships/hyperlink" Target="https://maps.google.com/?q=17.0113376763444,-96.8896142195739" TargetMode="External"/><Relationship Id="rId617" Type="http://schemas.openxmlformats.org/officeDocument/2006/relationships/hyperlink" Target="https://maps.google.com/?q=17.2751288863561,-98.277946999999998" TargetMode="External"/><Relationship Id="rId824" Type="http://schemas.openxmlformats.org/officeDocument/2006/relationships/hyperlink" Target="https://maps.google.com/?q=16.7124234953659,-94.749163807374899" TargetMode="External"/><Relationship Id="rId1247" Type="http://schemas.openxmlformats.org/officeDocument/2006/relationships/hyperlink" Target="https://maps.google.com/?q=16.78032687,-96.950846940000005" TargetMode="External"/><Relationship Id="rId1454" Type="http://schemas.openxmlformats.org/officeDocument/2006/relationships/hyperlink" Target="https://maps.google.com/?q=16.78889804,-96.911072180000005" TargetMode="External"/><Relationship Id="rId1661" Type="http://schemas.openxmlformats.org/officeDocument/2006/relationships/hyperlink" Target="https://maps.google.com/?q=17.25156806,-97.878411013561106" TargetMode="External"/><Relationship Id="rId2505" Type="http://schemas.openxmlformats.org/officeDocument/2006/relationships/hyperlink" Target="https://maps.google.com/?q=16.385406523175938,-96.844870043108969" TargetMode="External"/><Relationship Id="rId2712" Type="http://schemas.openxmlformats.org/officeDocument/2006/relationships/hyperlink" Target="https://maps.google.com/?q=18.0615204023573,-96.140069271164407" TargetMode="External"/><Relationship Id="rId1107" Type="http://schemas.openxmlformats.org/officeDocument/2006/relationships/hyperlink" Target="https://maps.google.com/?q=17.381183,-96.160445999999993" TargetMode="External"/><Relationship Id="rId1314" Type="http://schemas.openxmlformats.org/officeDocument/2006/relationships/hyperlink" Target="https://maps.google.com/?q=16.78678008,-96.926521070000007" TargetMode="External"/><Relationship Id="rId1521" Type="http://schemas.openxmlformats.org/officeDocument/2006/relationships/hyperlink" Target="https://maps.google.com/?q=16.78936185,-96.893265869999993" TargetMode="External"/><Relationship Id="rId3279" Type="http://schemas.openxmlformats.org/officeDocument/2006/relationships/hyperlink" Target="https://maps.google.com/?q=16.798005,-97.072869" TargetMode="External"/><Relationship Id="rId20" Type="http://schemas.openxmlformats.org/officeDocument/2006/relationships/hyperlink" Target="https://maps.google.com/?q=15.9834749,-95.67941836" TargetMode="External"/><Relationship Id="rId2088" Type="http://schemas.openxmlformats.org/officeDocument/2006/relationships/hyperlink" Target="https://maps.google.com/?q=17.267449,-97.680485000000004" TargetMode="External"/><Relationship Id="rId2295" Type="http://schemas.openxmlformats.org/officeDocument/2006/relationships/hyperlink" Target="https://maps.google.com/?q=17.027131,-96.077044000000001" TargetMode="External"/><Relationship Id="rId3139" Type="http://schemas.openxmlformats.org/officeDocument/2006/relationships/hyperlink" Target="https://maps.google.com/?q=16.44030803,-95.021821959999997" TargetMode="External"/><Relationship Id="rId267" Type="http://schemas.openxmlformats.org/officeDocument/2006/relationships/hyperlink" Target="https://maps.google.com/?q=17.1206660627443,-96.9735973205254" TargetMode="External"/><Relationship Id="rId474" Type="http://schemas.openxmlformats.org/officeDocument/2006/relationships/hyperlink" Target="https://maps.google.com/?q=17.422438,-97.010929000000004" TargetMode="External"/><Relationship Id="rId2155" Type="http://schemas.openxmlformats.org/officeDocument/2006/relationships/hyperlink" Target="https://maps.google.com/?q=17.511838,-97.488547999999994" TargetMode="External"/><Relationship Id="rId127" Type="http://schemas.openxmlformats.org/officeDocument/2006/relationships/hyperlink" Target="https://maps.google.com/?q=16.7782494614357,-96.576501259322598" TargetMode="External"/><Relationship Id="rId681" Type="http://schemas.openxmlformats.org/officeDocument/2006/relationships/hyperlink" Target="https://maps.google.com/?q=17.2569711256435,-98.259451682209004" TargetMode="External"/><Relationship Id="rId2362" Type="http://schemas.openxmlformats.org/officeDocument/2006/relationships/hyperlink" Target="https://maps.google.com/?q=17.33873,-96.152553999999995" TargetMode="External"/><Relationship Id="rId3206" Type="http://schemas.openxmlformats.org/officeDocument/2006/relationships/hyperlink" Target="https://maps.google.com/?q=17.063778,-96.729971000000006" TargetMode="External"/><Relationship Id="rId334" Type="http://schemas.openxmlformats.org/officeDocument/2006/relationships/hyperlink" Target="https://maps.google.com/?q=16.5178471637246,-97.782801938766497" TargetMode="External"/><Relationship Id="rId541" Type="http://schemas.openxmlformats.org/officeDocument/2006/relationships/hyperlink" Target="https://maps.google.com/?q=17.173143,-97.725340000000003" TargetMode="External"/><Relationship Id="rId1171" Type="http://schemas.openxmlformats.org/officeDocument/2006/relationships/hyperlink" Target="https://maps.google.com/?q=17.382658,-96.161963999999998" TargetMode="External"/><Relationship Id="rId2015" Type="http://schemas.openxmlformats.org/officeDocument/2006/relationships/hyperlink" Target="https://maps.google.com/?q=16.332014,-95.231966" TargetMode="External"/><Relationship Id="rId2222" Type="http://schemas.openxmlformats.org/officeDocument/2006/relationships/hyperlink" Target="https://maps.google.com/?q=16.237076,-97.292351999999994" TargetMode="External"/><Relationship Id="rId401" Type="http://schemas.openxmlformats.org/officeDocument/2006/relationships/hyperlink" Target="https://maps.google.com/?q=16.4961730052258,-97.5850549852847" TargetMode="External"/><Relationship Id="rId1031" Type="http://schemas.openxmlformats.org/officeDocument/2006/relationships/hyperlink" Target="https://maps.google.com/?q=17.380386,-96.161805999999999" TargetMode="External"/><Relationship Id="rId1988" Type="http://schemas.openxmlformats.org/officeDocument/2006/relationships/hyperlink" Target="https://maps.google.com/?q=16.519807,-96.983885000000001" TargetMode="External"/><Relationship Id="rId1848" Type="http://schemas.openxmlformats.org/officeDocument/2006/relationships/hyperlink" Target="https://maps.google.com/?q=17.821963,-97.732686000000001" TargetMode="External"/><Relationship Id="rId3063" Type="http://schemas.openxmlformats.org/officeDocument/2006/relationships/hyperlink" Target="https://maps.google.com/?q=16.429037053708,-95.030619488058505" TargetMode="External"/><Relationship Id="rId3270" Type="http://schemas.openxmlformats.org/officeDocument/2006/relationships/hyperlink" Target="https://maps.google.com/?q=16.383835,-94.331836" TargetMode="External"/><Relationship Id="rId191" Type="http://schemas.openxmlformats.org/officeDocument/2006/relationships/hyperlink" Target="https://maps.google.com/?q=16.7835576986833,-96.5822783263893" TargetMode="External"/><Relationship Id="rId1708" Type="http://schemas.openxmlformats.org/officeDocument/2006/relationships/hyperlink" Target="https://maps.google.com/?q=17.33912687,-97.932187060000004" TargetMode="External"/><Relationship Id="rId1915" Type="http://schemas.openxmlformats.org/officeDocument/2006/relationships/hyperlink" Target="https://maps.google.com/?q=17.511838,-97.488547999999994" TargetMode="External"/><Relationship Id="rId3130" Type="http://schemas.openxmlformats.org/officeDocument/2006/relationships/hyperlink" Target="https://maps.google.com/?q=16.4395623724812,-95.026973148035395" TargetMode="External"/><Relationship Id="rId2689" Type="http://schemas.openxmlformats.org/officeDocument/2006/relationships/hyperlink" Target="https://maps.google.com/?q=18.053659,-96.149546000000001" TargetMode="External"/><Relationship Id="rId2896" Type="http://schemas.openxmlformats.org/officeDocument/2006/relationships/hyperlink" Target="https://maps.google.com/?q=17.320526,-98.238685" TargetMode="External"/><Relationship Id="rId868" Type="http://schemas.openxmlformats.org/officeDocument/2006/relationships/hyperlink" Target="https://maps.google.com/?q=16.714668,-94.747587999999993" TargetMode="External"/><Relationship Id="rId1498" Type="http://schemas.openxmlformats.org/officeDocument/2006/relationships/hyperlink" Target="https://maps.google.com/?q=16.78920121,-96.892275850000004" TargetMode="External"/><Relationship Id="rId2549" Type="http://schemas.openxmlformats.org/officeDocument/2006/relationships/hyperlink" Target="https://maps.google.com/?q=16.386831282049553,-96.839275129381221" TargetMode="External"/><Relationship Id="rId2756" Type="http://schemas.openxmlformats.org/officeDocument/2006/relationships/hyperlink" Target="https://maps.google.com/?q=18.0819974346578,-96.176320107969403" TargetMode="External"/><Relationship Id="rId2963" Type="http://schemas.openxmlformats.org/officeDocument/2006/relationships/hyperlink" Target="https://maps.google.com/?q=17.431183,-98.296595999999994" TargetMode="External"/><Relationship Id="rId728" Type="http://schemas.openxmlformats.org/officeDocument/2006/relationships/hyperlink" Target="https://maps.google.com/?q=16.8884349618682,-95.035309693865599" TargetMode="External"/><Relationship Id="rId935" Type="http://schemas.openxmlformats.org/officeDocument/2006/relationships/hyperlink" Target="https://maps.google.com/?q=16.6761460154509,-94.775081143260095" TargetMode="External"/><Relationship Id="rId1358" Type="http://schemas.openxmlformats.org/officeDocument/2006/relationships/hyperlink" Target="https://maps.google.com/?q=16.78771472,-96.923969529999994" TargetMode="External"/><Relationship Id="rId1565" Type="http://schemas.openxmlformats.org/officeDocument/2006/relationships/hyperlink" Target="https://maps.google.com/?q=16.78979362,-96.90206053" TargetMode="External"/><Relationship Id="rId1772" Type="http://schemas.openxmlformats.org/officeDocument/2006/relationships/hyperlink" Target="https://maps.google.com/?q=16.21526575,-98.1860649" TargetMode="External"/><Relationship Id="rId2409" Type="http://schemas.openxmlformats.org/officeDocument/2006/relationships/hyperlink" Target="https://maps.google.com/?q=16.3832970063893,-96.844516316307391" TargetMode="External"/><Relationship Id="rId2616" Type="http://schemas.openxmlformats.org/officeDocument/2006/relationships/hyperlink" Target="https://maps.google.com/?q=18.0970524214389,-96.111606340678605" TargetMode="External"/><Relationship Id="rId64" Type="http://schemas.openxmlformats.org/officeDocument/2006/relationships/hyperlink" Target="https://maps.google.com/?q=16.982736480703,-96.892260606151495" TargetMode="External"/><Relationship Id="rId1218" Type="http://schemas.openxmlformats.org/officeDocument/2006/relationships/hyperlink" Target="https://maps.google.com/?q=17.100249401,-96.771421812" TargetMode="External"/><Relationship Id="rId1425" Type="http://schemas.openxmlformats.org/officeDocument/2006/relationships/hyperlink" Target="https://maps.google.com/?q=16.78866019,-96.913766370000005" TargetMode="External"/><Relationship Id="rId2823" Type="http://schemas.openxmlformats.org/officeDocument/2006/relationships/hyperlink" Target="https://maps.google.com/?q=17.0149772851117,-97.499072317790905" TargetMode="External"/><Relationship Id="rId1632" Type="http://schemas.openxmlformats.org/officeDocument/2006/relationships/hyperlink" Target="https://maps.google.com/?q=17.24270731,-97.791849209999995" TargetMode="External"/><Relationship Id="rId2199" Type="http://schemas.openxmlformats.org/officeDocument/2006/relationships/hyperlink" Target="https://maps.google.com/?q=16.564244,-96.731829000000005" TargetMode="External"/><Relationship Id="rId378" Type="http://schemas.openxmlformats.org/officeDocument/2006/relationships/hyperlink" Target="https://maps.google.com/?q=16.4876706466283,-97.581275277454495" TargetMode="External"/><Relationship Id="rId585" Type="http://schemas.openxmlformats.org/officeDocument/2006/relationships/hyperlink" Target="https://maps.google.com/?q=17.1818864089656,-98.197429976686493" TargetMode="External"/><Relationship Id="rId792" Type="http://schemas.openxmlformats.org/officeDocument/2006/relationships/hyperlink" Target="https://maps.google.com/?q=16.8925341356405,-95.037166364417999" TargetMode="External"/><Relationship Id="rId2059" Type="http://schemas.openxmlformats.org/officeDocument/2006/relationships/hyperlink" Target="https://maps.google.com/?q=17.331248,-96.487900999999994" TargetMode="External"/><Relationship Id="rId2266" Type="http://schemas.openxmlformats.org/officeDocument/2006/relationships/hyperlink" Target="https://maps.google.com/?q=17.063778,-96.729971000000006" TargetMode="External"/><Relationship Id="rId2473" Type="http://schemas.openxmlformats.org/officeDocument/2006/relationships/hyperlink" Target="https://maps.google.com/?q=16.384735488551087,-96.83991451052097" TargetMode="External"/><Relationship Id="rId2680" Type="http://schemas.openxmlformats.org/officeDocument/2006/relationships/hyperlink" Target="https://maps.google.com/?q=18.052406,-96.141446000000002" TargetMode="External"/><Relationship Id="rId238" Type="http://schemas.openxmlformats.org/officeDocument/2006/relationships/hyperlink" Target="https://maps.google.com/?q=17.1066460579097,-96.972504224536905" TargetMode="External"/><Relationship Id="rId445" Type="http://schemas.openxmlformats.org/officeDocument/2006/relationships/hyperlink" Target="https://maps.google.com/?q=17.415993,-97.012484999999998" TargetMode="External"/><Relationship Id="rId652" Type="http://schemas.openxmlformats.org/officeDocument/2006/relationships/hyperlink" Target="https://maps.google.com/?q=17.22168485,-98.193643660000006" TargetMode="External"/><Relationship Id="rId1075" Type="http://schemas.openxmlformats.org/officeDocument/2006/relationships/hyperlink" Target="https://maps.google.com/?q=17.380896,-96.162126999999998" TargetMode="External"/><Relationship Id="rId1282" Type="http://schemas.openxmlformats.org/officeDocument/2006/relationships/hyperlink" Target="https://maps.google.com/?q=16.78278784,-96.941488849999999" TargetMode="External"/><Relationship Id="rId2126" Type="http://schemas.openxmlformats.org/officeDocument/2006/relationships/hyperlink" Target="https://maps.google.com/?q=17.724615,-97.323898" TargetMode="External"/><Relationship Id="rId2333" Type="http://schemas.openxmlformats.org/officeDocument/2006/relationships/hyperlink" Target="https://maps.google.com/?q=17.458341,-97.225285" TargetMode="External"/><Relationship Id="rId2540" Type="http://schemas.openxmlformats.org/officeDocument/2006/relationships/hyperlink" Target="https://maps.google.com/?q=16.38645636319113,-96.840586600055801" TargetMode="External"/><Relationship Id="rId305" Type="http://schemas.openxmlformats.org/officeDocument/2006/relationships/hyperlink" Target="https://maps.google.com/?q=16.6169217131896,-97.789556743551302" TargetMode="External"/><Relationship Id="rId512" Type="http://schemas.openxmlformats.org/officeDocument/2006/relationships/hyperlink" Target="https://maps.google.com/?q=17.1204441157207,-97.717516588954894" TargetMode="External"/><Relationship Id="rId1142" Type="http://schemas.openxmlformats.org/officeDocument/2006/relationships/hyperlink" Target="https://maps.google.com/?q=17.381816,-96.161041999999995" TargetMode="External"/><Relationship Id="rId2400" Type="http://schemas.openxmlformats.org/officeDocument/2006/relationships/hyperlink" Target="https://maps.google.com/?q=16.383003464671667,-96.841809292215487" TargetMode="External"/><Relationship Id="rId1002" Type="http://schemas.openxmlformats.org/officeDocument/2006/relationships/hyperlink" Target="https://maps.google.com/?q=17.380033,-96.162497999999999" TargetMode="External"/><Relationship Id="rId1959" Type="http://schemas.openxmlformats.org/officeDocument/2006/relationships/hyperlink" Target="https://maps.google.com/?q=16.564244,-96.731829000000005" TargetMode="External"/><Relationship Id="rId3174" Type="http://schemas.openxmlformats.org/officeDocument/2006/relationships/hyperlink" Target="https://maps.google.com/?q=16.4556454272422,-95.015482266948098" TargetMode="External"/><Relationship Id="rId1819" Type="http://schemas.openxmlformats.org/officeDocument/2006/relationships/hyperlink" Target="https://maps.google.com/?q=15.7739008,-96.143620400000003" TargetMode="External"/><Relationship Id="rId2190" Type="http://schemas.openxmlformats.org/officeDocument/2006/relationships/hyperlink" Target="https://maps.google.com/?q=18.13222,-97.070751000000001" TargetMode="External"/><Relationship Id="rId3034" Type="http://schemas.openxmlformats.org/officeDocument/2006/relationships/hyperlink" Target="https://maps.google.com/?q=16.4262139623037,-95.018595261175804" TargetMode="External"/><Relationship Id="rId3241" Type="http://schemas.openxmlformats.org/officeDocument/2006/relationships/hyperlink" Target="https://maps.google.com/?q=17.33873,-96.152553999999995" TargetMode="External"/><Relationship Id="rId162" Type="http://schemas.openxmlformats.org/officeDocument/2006/relationships/hyperlink" Target="https://maps.google.com/?q=16.7818900751457,-96.581280370534998" TargetMode="External"/><Relationship Id="rId2050" Type="http://schemas.openxmlformats.org/officeDocument/2006/relationships/hyperlink" Target="https://maps.google.com/?q=16.791625,-96.674999" TargetMode="External"/><Relationship Id="rId3101" Type="http://schemas.openxmlformats.org/officeDocument/2006/relationships/hyperlink" Target="https://maps.google.com/?q=16.4363023861121,-95.027957117907206" TargetMode="External"/><Relationship Id="rId979" Type="http://schemas.openxmlformats.org/officeDocument/2006/relationships/hyperlink" Target="https://maps.google.com/?q=17.379714,-96.160567999999998" TargetMode="External"/><Relationship Id="rId839" Type="http://schemas.openxmlformats.org/officeDocument/2006/relationships/hyperlink" Target="https://maps.google.com/?q=16.713215,-94.749205000000003" TargetMode="External"/><Relationship Id="rId1469" Type="http://schemas.openxmlformats.org/officeDocument/2006/relationships/hyperlink" Target="https://maps.google.com/?q=16.78905354,-96.894680809999997" TargetMode="External"/><Relationship Id="rId2867" Type="http://schemas.openxmlformats.org/officeDocument/2006/relationships/hyperlink" Target="https://maps.google.com/?q=17.061921460148,-97.476314577760903" TargetMode="External"/><Relationship Id="rId1676" Type="http://schemas.openxmlformats.org/officeDocument/2006/relationships/hyperlink" Target="https://maps.google.com/?q=17.25649489,-97.801644519999996" TargetMode="External"/><Relationship Id="rId1883" Type="http://schemas.openxmlformats.org/officeDocument/2006/relationships/hyperlink" Target="https://maps.google.com/?q=17.458341,-97.225285" TargetMode="External"/><Relationship Id="rId2727" Type="http://schemas.openxmlformats.org/officeDocument/2006/relationships/hyperlink" Target="https://maps.google.com/?q=18.0636051151877,-96.148309801834898" TargetMode="External"/><Relationship Id="rId2934" Type="http://schemas.openxmlformats.org/officeDocument/2006/relationships/hyperlink" Target="https://maps.google.com/?q=17.337687,-98.171975000000003" TargetMode="External"/><Relationship Id="rId906" Type="http://schemas.openxmlformats.org/officeDocument/2006/relationships/hyperlink" Target="https://maps.google.com/?q=16.71635663,-94.745637500000001" TargetMode="External"/><Relationship Id="rId1329" Type="http://schemas.openxmlformats.org/officeDocument/2006/relationships/hyperlink" Target="https://maps.google.com/?q=16.78702848,-96.899447859999995" TargetMode="External"/><Relationship Id="rId1536" Type="http://schemas.openxmlformats.org/officeDocument/2006/relationships/hyperlink" Target="https://maps.google.com/?q=16.78952786,-96.904717829999996" TargetMode="External"/><Relationship Id="rId1743" Type="http://schemas.openxmlformats.org/officeDocument/2006/relationships/hyperlink" Target="https://maps.google.com/?q=16.329145574015154,-96.5868404871025" TargetMode="External"/><Relationship Id="rId1950" Type="http://schemas.openxmlformats.org/officeDocument/2006/relationships/hyperlink" Target="https://maps.google.com/?q=18.13222,-97.070751000000001" TargetMode="External"/><Relationship Id="rId35" Type="http://schemas.openxmlformats.org/officeDocument/2006/relationships/hyperlink" Target="https://maps.google.com/?q=15.98837897,-95.672890240000001" TargetMode="External"/><Relationship Id="rId1603" Type="http://schemas.openxmlformats.org/officeDocument/2006/relationships/hyperlink" Target="https://maps.google.com/?q=16.79036521,-96.902424229999994" TargetMode="External"/><Relationship Id="rId1810" Type="http://schemas.openxmlformats.org/officeDocument/2006/relationships/hyperlink" Target="https://maps.google.com/?q=15.7735693,-96.142601499999998" TargetMode="External"/><Relationship Id="rId489" Type="http://schemas.openxmlformats.org/officeDocument/2006/relationships/hyperlink" Target="https://maps.google.com/?q=17.383097,-96.919145999999998" TargetMode="External"/><Relationship Id="rId696" Type="http://schemas.openxmlformats.org/officeDocument/2006/relationships/hyperlink" Target="https://maps.google.com/?q=17.2589026150947,-98.263030177909897" TargetMode="External"/><Relationship Id="rId2377" Type="http://schemas.openxmlformats.org/officeDocument/2006/relationships/hyperlink" Target="https://maps.google.com/?q=16.380597934896926,-96.846813573103958" TargetMode="External"/><Relationship Id="rId2584" Type="http://schemas.openxmlformats.org/officeDocument/2006/relationships/hyperlink" Target="https://maps.google.com/?q=16.392506444058807,-96.842946950772841" TargetMode="External"/><Relationship Id="rId2791" Type="http://schemas.openxmlformats.org/officeDocument/2006/relationships/hyperlink" Target="https://maps.google.com/?q=18.0901992626679,-96.168697813491903" TargetMode="External"/><Relationship Id="rId349" Type="http://schemas.openxmlformats.org/officeDocument/2006/relationships/hyperlink" Target="https://maps.google.com/?q=16.499171,-97.783360000000002" TargetMode="External"/><Relationship Id="rId556" Type="http://schemas.openxmlformats.org/officeDocument/2006/relationships/hyperlink" Target="https://maps.google.com/?q=16.370238,-95.026260" TargetMode="External"/><Relationship Id="rId763" Type="http://schemas.openxmlformats.org/officeDocument/2006/relationships/hyperlink" Target="https://maps.google.com/?q=16.8195063156536,-95.119672199088399" TargetMode="External"/><Relationship Id="rId1186" Type="http://schemas.openxmlformats.org/officeDocument/2006/relationships/hyperlink" Target="https://maps.google.com/?q=17.100652,%20-96.771766" TargetMode="External"/><Relationship Id="rId1393" Type="http://schemas.openxmlformats.org/officeDocument/2006/relationships/hyperlink" Target="https://maps.google.com/?q=16.78824971,-96.898168510000005" TargetMode="External"/><Relationship Id="rId2237" Type="http://schemas.openxmlformats.org/officeDocument/2006/relationships/hyperlink" Target="https://maps.google.com/?q=17.207464,-96.801094000000006" TargetMode="External"/><Relationship Id="rId2444" Type="http://schemas.openxmlformats.org/officeDocument/2006/relationships/hyperlink" Target="https://maps.google.com/?q=16.384310393903522,-96.837203766229806" TargetMode="External"/><Relationship Id="rId209" Type="http://schemas.openxmlformats.org/officeDocument/2006/relationships/hyperlink" Target="https://maps.google.com/?q=16.7845685477479,-96.583034542327994" TargetMode="External"/><Relationship Id="rId416" Type="http://schemas.openxmlformats.org/officeDocument/2006/relationships/hyperlink" Target="https://maps.google.com/?q=17.402534,-96.927955999999995" TargetMode="External"/><Relationship Id="rId970" Type="http://schemas.openxmlformats.org/officeDocument/2006/relationships/hyperlink" Target="https://maps.google.com/?q=17.379253,-96.161795999999995" TargetMode="External"/><Relationship Id="rId1046" Type="http://schemas.openxmlformats.org/officeDocument/2006/relationships/hyperlink" Target="https://maps.google.com/?q=17.380504,-96.163809999999998" TargetMode="External"/><Relationship Id="rId1253" Type="http://schemas.openxmlformats.org/officeDocument/2006/relationships/hyperlink" Target="https://maps.google.com/?q=16.78086665,-96.950218070000005" TargetMode="External"/><Relationship Id="rId2651" Type="http://schemas.openxmlformats.org/officeDocument/2006/relationships/hyperlink" Target="https://maps.google.com/?q=18.1243392088484,-95.997626712847804" TargetMode="External"/><Relationship Id="rId623" Type="http://schemas.openxmlformats.org/officeDocument/2006/relationships/hyperlink" Target="https://maps.google.com/?q=17.2757814676861,-98.277413779098595" TargetMode="External"/><Relationship Id="rId830" Type="http://schemas.openxmlformats.org/officeDocument/2006/relationships/hyperlink" Target="https://maps.google.com/?q=16.712673,-94.745209000000003" TargetMode="External"/><Relationship Id="rId1460" Type="http://schemas.openxmlformats.org/officeDocument/2006/relationships/hyperlink" Target="https://maps.google.com/?q=16.78893562,-96.895069789999994" TargetMode="External"/><Relationship Id="rId2304" Type="http://schemas.openxmlformats.org/officeDocument/2006/relationships/hyperlink" Target="https://maps.google.com/?q=17.501442,-98.142583999999999" TargetMode="External"/><Relationship Id="rId2511" Type="http://schemas.openxmlformats.org/officeDocument/2006/relationships/hyperlink" Target="https://maps.google.com/?q=16.38551610549858,-96.83795445822004" TargetMode="External"/><Relationship Id="rId1113" Type="http://schemas.openxmlformats.org/officeDocument/2006/relationships/hyperlink" Target="https://maps.google.com/?q=17.381273,-96.161748000000003" TargetMode="External"/><Relationship Id="rId1320" Type="http://schemas.openxmlformats.org/officeDocument/2006/relationships/hyperlink" Target="https://maps.google.com/?q=16.786878831588073,-96.902116276845518" TargetMode="External"/><Relationship Id="rId3078" Type="http://schemas.openxmlformats.org/officeDocument/2006/relationships/hyperlink" Target="https://maps.google.com/?q=16.4303828319974,-95.018952217033203" TargetMode="External"/><Relationship Id="rId3285" Type="http://schemas.openxmlformats.org/officeDocument/2006/relationships/hyperlink" Target="https://maps.google.com/?q=17.770171,-96.329152" TargetMode="External"/><Relationship Id="rId2094" Type="http://schemas.openxmlformats.org/officeDocument/2006/relationships/hyperlink" Target="https://maps.google.com/?q=17.501442,-98.142583999999999" TargetMode="External"/><Relationship Id="rId3145" Type="http://schemas.openxmlformats.org/officeDocument/2006/relationships/hyperlink" Target="https://maps.google.com/?q=16.4408044938951,-95.011586592309101" TargetMode="External"/><Relationship Id="rId273" Type="http://schemas.openxmlformats.org/officeDocument/2006/relationships/hyperlink" Target="https://maps.google.com/?q=17.1256214679516,-96.971470201223298" TargetMode="External"/><Relationship Id="rId480" Type="http://schemas.openxmlformats.org/officeDocument/2006/relationships/hyperlink" Target="https://maps.google.com/?q=17.42695981,-97.0102124" TargetMode="External"/><Relationship Id="rId2161" Type="http://schemas.openxmlformats.org/officeDocument/2006/relationships/hyperlink" Target="https://maps.google.com/?q=15.746144,-96.465182999999996" TargetMode="External"/><Relationship Id="rId3005" Type="http://schemas.openxmlformats.org/officeDocument/2006/relationships/hyperlink" Target="https://maps.google.com/?q=16.4235188061414,-95.026827978745303" TargetMode="External"/><Relationship Id="rId3212" Type="http://schemas.openxmlformats.org/officeDocument/2006/relationships/hyperlink" Target="https://maps.google.com/?q=17.361766,-95.922253999999995" TargetMode="External"/><Relationship Id="rId133" Type="http://schemas.openxmlformats.org/officeDocument/2006/relationships/hyperlink" Target="https://maps.google.com/?q=16.7796832437444,-96.583368593077594" TargetMode="External"/><Relationship Id="rId340" Type="http://schemas.openxmlformats.org/officeDocument/2006/relationships/hyperlink" Target="https://maps.google.com/?q=16.5186358598486,-97.781908269269394" TargetMode="External"/><Relationship Id="rId2021" Type="http://schemas.openxmlformats.org/officeDocument/2006/relationships/hyperlink" Target="https://maps.google.com/?q=16.866371,-96.785623000000001" TargetMode="External"/><Relationship Id="rId200" Type="http://schemas.openxmlformats.org/officeDocument/2006/relationships/hyperlink" Target="https://maps.google.com/?q=16.7840755846704,-96.583841712866601" TargetMode="External"/><Relationship Id="rId2978" Type="http://schemas.openxmlformats.org/officeDocument/2006/relationships/hyperlink" Target="https://maps.google.com/?q=17.432983,-98.295764000000005" TargetMode="External"/><Relationship Id="rId1787" Type="http://schemas.openxmlformats.org/officeDocument/2006/relationships/hyperlink" Target="https://maps.google.com/?q=15.7731298,-96.139247400000002" TargetMode="External"/><Relationship Id="rId1994" Type="http://schemas.openxmlformats.org/officeDocument/2006/relationships/hyperlink" Target="https://maps.google.com/?q=17.026216,-97.928115000000005" TargetMode="External"/><Relationship Id="rId2838" Type="http://schemas.openxmlformats.org/officeDocument/2006/relationships/hyperlink" Target="https://maps.google.com/?q=17.0334838736117,-97.511505104413999" TargetMode="External"/><Relationship Id="rId79" Type="http://schemas.openxmlformats.org/officeDocument/2006/relationships/hyperlink" Target="https://maps.google.com/?q=17.0183492290747,-96.858707776638397" TargetMode="External"/><Relationship Id="rId1647" Type="http://schemas.openxmlformats.org/officeDocument/2006/relationships/hyperlink" Target="https://maps.google.com/?q=17.324214282135,-97.894595557448099" TargetMode="External"/><Relationship Id="rId1854" Type="http://schemas.openxmlformats.org/officeDocument/2006/relationships/hyperlink" Target="https://maps.google.com/?q=17.82376,-97.732476000000005" TargetMode="External"/><Relationship Id="rId2905" Type="http://schemas.openxmlformats.org/officeDocument/2006/relationships/hyperlink" Target="https://maps.google.com/?q=17.322626,%20-98.239214" TargetMode="External"/><Relationship Id="rId1507" Type="http://schemas.openxmlformats.org/officeDocument/2006/relationships/hyperlink" Target="https://maps.google.com/?q=16.78925991,-96.898514640000002" TargetMode="External"/><Relationship Id="rId1714" Type="http://schemas.openxmlformats.org/officeDocument/2006/relationships/hyperlink" Target="https://maps.google.com/?q=16.787575,-96.792747000000006" TargetMode="External"/><Relationship Id="rId1921" Type="http://schemas.openxmlformats.org/officeDocument/2006/relationships/hyperlink" Target="https://maps.google.com/?q=15.746144,-96.465182999999996" TargetMode="External"/><Relationship Id="rId2488" Type="http://schemas.openxmlformats.org/officeDocument/2006/relationships/hyperlink" Target="https://maps.google.com/?q=16.385125857819112,-96.837323912212952" TargetMode="External"/><Relationship Id="rId1297" Type="http://schemas.openxmlformats.org/officeDocument/2006/relationships/hyperlink" Target="https://maps.google.com/?q=16.78602940167813,-96.906875252134327" TargetMode="External"/><Relationship Id="rId2695" Type="http://schemas.openxmlformats.org/officeDocument/2006/relationships/hyperlink" Target="https://maps.google.com/?q=18.0550082548803,-96.148737892030695" TargetMode="External"/><Relationship Id="rId667" Type="http://schemas.openxmlformats.org/officeDocument/2006/relationships/hyperlink" Target="https://maps.google.com/?q=17.2562252834491,-98.264307341104498" TargetMode="External"/><Relationship Id="rId874" Type="http://schemas.openxmlformats.org/officeDocument/2006/relationships/hyperlink" Target="https://maps.google.com/?q=16.7147586140876,-94.746524545386293" TargetMode="External"/><Relationship Id="rId2348" Type="http://schemas.openxmlformats.org/officeDocument/2006/relationships/hyperlink" Target="https://maps.google.com/?q=16.500512,-96.106790000000004" TargetMode="External"/><Relationship Id="rId2555" Type="http://schemas.openxmlformats.org/officeDocument/2006/relationships/hyperlink" Target="https://maps.google.com/?q=16.38705564476464,-96.836920565905402" TargetMode="External"/><Relationship Id="rId2762" Type="http://schemas.openxmlformats.org/officeDocument/2006/relationships/hyperlink" Target="https://maps.google.com/?q=18.0832504821109,-96.1648383644185" TargetMode="External"/><Relationship Id="rId527" Type="http://schemas.openxmlformats.org/officeDocument/2006/relationships/hyperlink" Target="https://maps.google.com/?q=17.1550511315906,-97.719833784407896" TargetMode="External"/><Relationship Id="rId734" Type="http://schemas.openxmlformats.org/officeDocument/2006/relationships/hyperlink" Target="https://maps.google.com/?q=16.8632518370527,-95.055981728836201" TargetMode="External"/><Relationship Id="rId941" Type="http://schemas.openxmlformats.org/officeDocument/2006/relationships/hyperlink" Target="https://maps.google.com/?q=16.6784219757753,-94.774823695302501" TargetMode="External"/><Relationship Id="rId1157" Type="http://schemas.openxmlformats.org/officeDocument/2006/relationships/hyperlink" Target="https://maps.google.com/?q=17.38213,-96.162205999999998" TargetMode="External"/><Relationship Id="rId1364" Type="http://schemas.openxmlformats.org/officeDocument/2006/relationships/hyperlink" Target="https://maps.google.com/?q=16.78781042,-96.896460039999994" TargetMode="External"/><Relationship Id="rId1571" Type="http://schemas.openxmlformats.org/officeDocument/2006/relationships/hyperlink" Target="https://maps.google.com/?q=16.78983008,-96.903683849999993" TargetMode="External"/><Relationship Id="rId2208" Type="http://schemas.openxmlformats.org/officeDocument/2006/relationships/hyperlink" Target="https://maps.google.com/?q=17.267449,-97.680485000000004" TargetMode="External"/><Relationship Id="rId2415" Type="http://schemas.openxmlformats.org/officeDocument/2006/relationships/hyperlink" Target="https://maps.google.com/?q=16.383558272967218,-96.84271183739925" TargetMode="External"/><Relationship Id="rId2622" Type="http://schemas.openxmlformats.org/officeDocument/2006/relationships/hyperlink" Target="https://maps.google.com/?q=18.102848572579,-96.104807450705906" TargetMode="External"/><Relationship Id="rId70" Type="http://schemas.openxmlformats.org/officeDocument/2006/relationships/hyperlink" Target="https://maps.google.com/?q=16.9836878929489,-96.890823977667196" TargetMode="External"/><Relationship Id="rId801" Type="http://schemas.openxmlformats.org/officeDocument/2006/relationships/hyperlink" Target="https://maps.google.com/?q=16.8965129501173,-95.039451845403704" TargetMode="External"/><Relationship Id="rId1017" Type="http://schemas.openxmlformats.org/officeDocument/2006/relationships/hyperlink" Target="https://maps.google.com/?q=17.380239,-96.160120000000006" TargetMode="External"/><Relationship Id="rId1224" Type="http://schemas.openxmlformats.org/officeDocument/2006/relationships/hyperlink" Target="https://maps.google.com/?q=17.102007808,-96.772936234" TargetMode="External"/><Relationship Id="rId1431" Type="http://schemas.openxmlformats.org/officeDocument/2006/relationships/hyperlink" Target="https://maps.google.com/?q=16.78869798,-96.913635400000004" TargetMode="External"/><Relationship Id="rId3189" Type="http://schemas.openxmlformats.org/officeDocument/2006/relationships/hyperlink" Target="https://maps.google.com/?q=17.12633873029524,-96.76793058855655" TargetMode="External"/><Relationship Id="rId3049" Type="http://schemas.openxmlformats.org/officeDocument/2006/relationships/hyperlink" Target="https://maps.google.com/?q=16.4276404408964,-95.0205224069515" TargetMode="External"/><Relationship Id="rId3256" Type="http://schemas.openxmlformats.org/officeDocument/2006/relationships/hyperlink" Target="https://maps.google.com/?q=17.190268,-96.855513" TargetMode="External"/><Relationship Id="rId177" Type="http://schemas.openxmlformats.org/officeDocument/2006/relationships/hyperlink" Target="https://maps.google.com/?q=16.7826201748362,&#160;-96.5797856625659" TargetMode="External"/><Relationship Id="rId384" Type="http://schemas.openxmlformats.org/officeDocument/2006/relationships/hyperlink" Target="https://maps.google.com/?q=16.4900392901721,-97.576143635582" TargetMode="External"/><Relationship Id="rId591" Type="http://schemas.openxmlformats.org/officeDocument/2006/relationships/hyperlink" Target="https://maps.google.com/?q=17.2711635074883,-98.277095378959999" TargetMode="External"/><Relationship Id="rId2065" Type="http://schemas.openxmlformats.org/officeDocument/2006/relationships/hyperlink" Target="https://maps.google.com/?q=17.511838,-97.488547999999994" TargetMode="External"/><Relationship Id="rId2272" Type="http://schemas.openxmlformats.org/officeDocument/2006/relationships/hyperlink" Target="https://maps.google.com/?q=17.361766,-95.922253999999995" TargetMode="External"/><Relationship Id="rId3116" Type="http://schemas.openxmlformats.org/officeDocument/2006/relationships/hyperlink" Target="https://maps.google.com/?q=16.4383724499732,-95.013547587147698" TargetMode="External"/><Relationship Id="rId244" Type="http://schemas.openxmlformats.org/officeDocument/2006/relationships/hyperlink" Target="https://maps.google.com/?q=16.9819856684026,-97.021909134358594" TargetMode="External"/><Relationship Id="rId1081" Type="http://schemas.openxmlformats.org/officeDocument/2006/relationships/hyperlink" Target="https://maps.google.com/?q=17.380933,-96.161721999999997" TargetMode="External"/><Relationship Id="rId451" Type="http://schemas.openxmlformats.org/officeDocument/2006/relationships/hyperlink" Target="https://maps.google.com/?q=17.41306739,-96.931809779999995" TargetMode="External"/><Relationship Id="rId2132" Type="http://schemas.openxmlformats.org/officeDocument/2006/relationships/hyperlink" Target="https://maps.google.com/?q=16.237076,-97.292351999999994" TargetMode="External"/><Relationship Id="rId104" Type="http://schemas.openxmlformats.org/officeDocument/2006/relationships/hyperlink" Target="https://maps.google.com/?q=16.9713617245366,-96.908786590282503" TargetMode="External"/><Relationship Id="rId311" Type="http://schemas.openxmlformats.org/officeDocument/2006/relationships/hyperlink" Target="https://maps.google.com/?q=16.6181930069817,-97.791776107969298" TargetMode="External"/><Relationship Id="rId1898" Type="http://schemas.openxmlformats.org/officeDocument/2006/relationships/hyperlink" Target="https://maps.google.com/?q=16.519807,-96.983885000000001" TargetMode="External"/><Relationship Id="rId2949" Type="http://schemas.openxmlformats.org/officeDocument/2006/relationships/hyperlink" Target="https://maps.google.com/?q=17.428822,-98.296009999999995" TargetMode="External"/><Relationship Id="rId1758" Type="http://schemas.openxmlformats.org/officeDocument/2006/relationships/hyperlink" Target="https://maps.google.com/?q=17.308646,-96.899051" TargetMode="External"/><Relationship Id="rId2809" Type="http://schemas.openxmlformats.org/officeDocument/2006/relationships/hyperlink" Target="https://maps.google.com/?q=18.099259463515,-96.158449953372994" TargetMode="External"/><Relationship Id="rId1965" Type="http://schemas.openxmlformats.org/officeDocument/2006/relationships/hyperlink" Target="https://maps.google.com/?q=17.027131,-96.077044000000001" TargetMode="External"/><Relationship Id="rId3180" Type="http://schemas.openxmlformats.org/officeDocument/2006/relationships/hyperlink" Target="https://maps.google.com/?q=16.4584431807633,-95.022112263511303" TargetMode="External"/><Relationship Id="rId1618" Type="http://schemas.openxmlformats.org/officeDocument/2006/relationships/hyperlink" Target="https://maps.google.com/?q=17.3042051575035,-97.935051924429303" TargetMode="External"/><Relationship Id="rId1825" Type="http://schemas.openxmlformats.org/officeDocument/2006/relationships/hyperlink" Target="https://maps.google.com/?q=15.7740389,-96.143119200000001" TargetMode="External"/><Relationship Id="rId3040" Type="http://schemas.openxmlformats.org/officeDocument/2006/relationships/hyperlink" Target="https://maps.google.com/?q=16.4265095040979,-95.029660560110301" TargetMode="External"/><Relationship Id="rId2599" Type="http://schemas.openxmlformats.org/officeDocument/2006/relationships/hyperlink" Target="https://maps.google.com/?q=16.39534700689495,-96.844981873751564" TargetMode="External"/><Relationship Id="rId778" Type="http://schemas.openxmlformats.org/officeDocument/2006/relationships/hyperlink" Target="https://maps.google.com/?q=16.8235355889325,-95.120121979999993" TargetMode="External"/><Relationship Id="rId985" Type="http://schemas.openxmlformats.org/officeDocument/2006/relationships/hyperlink" Target="https://maps.google.com/?q=17.379785,-96.162509" TargetMode="External"/><Relationship Id="rId2459" Type="http://schemas.openxmlformats.org/officeDocument/2006/relationships/hyperlink" Target="https://maps.google.com/?q=16.384507971675973,-96.843285499819245" TargetMode="External"/><Relationship Id="rId2666" Type="http://schemas.openxmlformats.org/officeDocument/2006/relationships/hyperlink" Target="https://maps.google.com/?q=18.0511384653675,-96.140715940782798" TargetMode="External"/><Relationship Id="rId2873" Type="http://schemas.openxmlformats.org/officeDocument/2006/relationships/hyperlink" Target="https://maps.google.com/?q=17.0639066678514,-97.4784081656761" TargetMode="External"/><Relationship Id="rId638" Type="http://schemas.openxmlformats.org/officeDocument/2006/relationships/hyperlink" Target="https://maps.google.com/?q=17.2816062155579,-98.281308569162206" TargetMode="External"/><Relationship Id="rId845" Type="http://schemas.openxmlformats.org/officeDocument/2006/relationships/hyperlink" Target="https://maps.google.com/?q=16.713339,-94.747540000000001" TargetMode="External"/><Relationship Id="rId1268" Type="http://schemas.openxmlformats.org/officeDocument/2006/relationships/hyperlink" Target="https://maps.google.com/?q=16.7819405,-96.943899160000001" TargetMode="External"/><Relationship Id="rId1475" Type="http://schemas.openxmlformats.org/officeDocument/2006/relationships/hyperlink" Target="https://maps.google.com/?q=16.78907242,-96.905560230000006" TargetMode="External"/><Relationship Id="rId1682" Type="http://schemas.openxmlformats.org/officeDocument/2006/relationships/hyperlink" Target="https://maps.google.com/?q=17.3858920027325,-97.914136317791005" TargetMode="External"/><Relationship Id="rId2319" Type="http://schemas.openxmlformats.org/officeDocument/2006/relationships/hyperlink" Target="https://maps.google.com/?q=16.564244,-96.731829000000005" TargetMode="External"/><Relationship Id="rId2526" Type="http://schemas.openxmlformats.org/officeDocument/2006/relationships/hyperlink" Target="https://maps.google.com/?q=16.38597324448079,-96.840202164545161" TargetMode="External"/><Relationship Id="rId2733" Type="http://schemas.openxmlformats.org/officeDocument/2006/relationships/hyperlink" Target="https://maps.google.com/?q=18.0744254599689,-96.173137208665693" TargetMode="External"/><Relationship Id="rId705" Type="http://schemas.openxmlformats.org/officeDocument/2006/relationships/hyperlink" Target="https://maps.google.com/?q=17.2596587219968,-98.263088999999994" TargetMode="External"/><Relationship Id="rId1128" Type="http://schemas.openxmlformats.org/officeDocument/2006/relationships/hyperlink" Target="https://maps.google.com/?q=17.381531,-96.159901000000005" TargetMode="External"/><Relationship Id="rId1335" Type="http://schemas.openxmlformats.org/officeDocument/2006/relationships/hyperlink" Target="https://maps.google.com/?q=16.78721383,-96.899756640000007" TargetMode="External"/><Relationship Id="rId1542" Type="http://schemas.openxmlformats.org/officeDocument/2006/relationships/hyperlink" Target="https://maps.google.com/?q=16.78960649905442,-96.899794536340451" TargetMode="External"/><Relationship Id="rId2940" Type="http://schemas.openxmlformats.org/officeDocument/2006/relationships/hyperlink" Target="https://maps.google.com/?q=17.338095,-98.172368000000006" TargetMode="External"/><Relationship Id="rId912" Type="http://schemas.openxmlformats.org/officeDocument/2006/relationships/hyperlink" Target="https://maps.google.com/?q=16.7170939670159,-94.744448389514602" TargetMode="External"/><Relationship Id="rId2800" Type="http://schemas.openxmlformats.org/officeDocument/2006/relationships/hyperlink" Target="https://maps.google.com/?q=18.0974562016041,-96.160640505177795" TargetMode="External"/><Relationship Id="rId41" Type="http://schemas.openxmlformats.org/officeDocument/2006/relationships/hyperlink" Target="https://maps.google.com/?q=15.99068667,-95.68079256" TargetMode="External"/><Relationship Id="rId1402" Type="http://schemas.openxmlformats.org/officeDocument/2006/relationships/hyperlink" Target="https://maps.google.com/?q=16.78840285,-96.919108210000005" TargetMode="External"/><Relationship Id="rId288" Type="http://schemas.openxmlformats.org/officeDocument/2006/relationships/hyperlink" Target="https://maps.google.com/?q=16.6136769984386,-97.784716093254204" TargetMode="External"/><Relationship Id="rId495" Type="http://schemas.openxmlformats.org/officeDocument/2006/relationships/hyperlink" Target="https://maps.google.com/?q=17.29495556,-96.905326380000005" TargetMode="External"/><Relationship Id="rId2176" Type="http://schemas.openxmlformats.org/officeDocument/2006/relationships/hyperlink" Target="https://maps.google.com/?q=17.063778,-96.729971000000006" TargetMode="External"/><Relationship Id="rId2383" Type="http://schemas.openxmlformats.org/officeDocument/2006/relationships/hyperlink" Target="https://maps.google.com/?q=16.38107820418514,-96.84715816119548" TargetMode="External"/><Relationship Id="rId2590" Type="http://schemas.openxmlformats.org/officeDocument/2006/relationships/hyperlink" Target="https://maps.google.com/?q=16.39442661223215,-96.843111244419617" TargetMode="External"/><Relationship Id="rId3227" Type="http://schemas.openxmlformats.org/officeDocument/2006/relationships/hyperlink" Target="https://maps.google.com/?q=16.500512,-96.106790000000004" TargetMode="External"/><Relationship Id="rId148" Type="http://schemas.openxmlformats.org/officeDocument/2006/relationships/hyperlink" Target="https://maps.google.com/?q=16.7807596067169,-96.578730860118895" TargetMode="External"/><Relationship Id="rId355" Type="http://schemas.openxmlformats.org/officeDocument/2006/relationships/hyperlink" Target="https://maps.google.com/?q=16.499447,-97.782909000000004" TargetMode="External"/><Relationship Id="rId562" Type="http://schemas.openxmlformats.org/officeDocument/2006/relationships/hyperlink" Target="https://maps.google.com/?q=17.1751735652969,-98.195411000000007" TargetMode="External"/><Relationship Id="rId1192" Type="http://schemas.openxmlformats.org/officeDocument/2006/relationships/hyperlink" Target="https://maps.google.com/?q=17.102591,%20-96.773586" TargetMode="External"/><Relationship Id="rId2036" Type="http://schemas.openxmlformats.org/officeDocument/2006/relationships/hyperlink" Target="https://maps.google.com/?q=17.724615,-97.323898" TargetMode="External"/><Relationship Id="rId2243" Type="http://schemas.openxmlformats.org/officeDocument/2006/relationships/hyperlink" Target="https://maps.google.com/?q=17.458341,-97.225285" TargetMode="External"/><Relationship Id="rId2450" Type="http://schemas.openxmlformats.org/officeDocument/2006/relationships/hyperlink" Target="https://maps.google.com/?q=16.38437550784957,-96.843520980022006" TargetMode="External"/><Relationship Id="rId215" Type="http://schemas.openxmlformats.org/officeDocument/2006/relationships/hyperlink" Target="https://maps.google.com/?q=16.785230586636,-96.582895315309699" TargetMode="External"/><Relationship Id="rId422" Type="http://schemas.openxmlformats.org/officeDocument/2006/relationships/hyperlink" Target="https://maps.google.com/?q=17.4051321673854,-96.929407585896698" TargetMode="External"/><Relationship Id="rId1052" Type="http://schemas.openxmlformats.org/officeDocument/2006/relationships/hyperlink" Target="https://maps.google.com/?q=17.380588,-96.162301999999997" TargetMode="External"/><Relationship Id="rId2103" Type="http://schemas.openxmlformats.org/officeDocument/2006/relationships/hyperlink" Target="https://maps.google.com/?q=16.279058,-97.820240999999996" TargetMode="External"/><Relationship Id="rId2310" Type="http://schemas.openxmlformats.org/officeDocument/2006/relationships/hyperlink" Target="https://maps.google.com/?q=18.13222,-97.070751000000001" TargetMode="External"/><Relationship Id="rId1869" Type="http://schemas.openxmlformats.org/officeDocument/2006/relationships/hyperlink" Target="https://maps.google.com/?q=16.564244,-96.731829000000005" TargetMode="External"/><Relationship Id="rId3084" Type="http://schemas.openxmlformats.org/officeDocument/2006/relationships/hyperlink" Target="https://maps.google.com/?q=16.4316430391191,-95.019314920072304" TargetMode="External"/><Relationship Id="rId3291" Type="http://schemas.openxmlformats.org/officeDocument/2006/relationships/hyperlink" Target="https://maps.google.com/?q=16.275553,-94.462516" TargetMode="External"/><Relationship Id="rId1729" Type="http://schemas.openxmlformats.org/officeDocument/2006/relationships/hyperlink" Target="https://maps.google.com/?q=16.789783,-96.784711999999999" TargetMode="External"/><Relationship Id="rId1936" Type="http://schemas.openxmlformats.org/officeDocument/2006/relationships/hyperlink" Target="https://maps.google.com/?q=17.063778,-96.729971000000006" TargetMode="External"/><Relationship Id="rId3151" Type="http://schemas.openxmlformats.org/officeDocument/2006/relationships/hyperlink" Target="https://maps.google.com/?q=16.4432552491477,-95.032238825868106" TargetMode="External"/><Relationship Id="rId3011" Type="http://schemas.openxmlformats.org/officeDocument/2006/relationships/hyperlink" Target="https://maps.google.com/?q=16.4242837054908,-95.029241643525694" TargetMode="External"/><Relationship Id="rId5" Type="http://schemas.openxmlformats.org/officeDocument/2006/relationships/hyperlink" Target="https://maps.google.com/?q=17.0686269,-96.730726" TargetMode="External"/><Relationship Id="rId889" Type="http://schemas.openxmlformats.org/officeDocument/2006/relationships/hyperlink" Target="https://maps.google.com/?q=16.715421,-94.746291999999997" TargetMode="External"/><Relationship Id="rId2777" Type="http://schemas.openxmlformats.org/officeDocument/2006/relationships/hyperlink" Target="https://maps.google.com/?q=18.084992265732,-96.165231364418105" TargetMode="External"/><Relationship Id="rId749" Type="http://schemas.openxmlformats.org/officeDocument/2006/relationships/hyperlink" Target="https://maps.google.com/?q=16.8167289301002,-95.117834633323397" TargetMode="External"/><Relationship Id="rId1379" Type="http://schemas.openxmlformats.org/officeDocument/2006/relationships/hyperlink" Target="https://maps.google.com/?q=16.78803104,-96.917197630000004" TargetMode="External"/><Relationship Id="rId1586" Type="http://schemas.openxmlformats.org/officeDocument/2006/relationships/hyperlink" Target="https://maps.google.com/?q=16.790009980600356,-96.89940411205265" TargetMode="External"/><Relationship Id="rId2984" Type="http://schemas.openxmlformats.org/officeDocument/2006/relationships/hyperlink" Target="https://maps.google.com/?q=16.4141203693887,-95.026493091423504" TargetMode="External"/><Relationship Id="rId609" Type="http://schemas.openxmlformats.org/officeDocument/2006/relationships/hyperlink" Target="https://maps.google.com/?q=17.2736172367977,-98.275563054878901" TargetMode="External"/><Relationship Id="rId956" Type="http://schemas.openxmlformats.org/officeDocument/2006/relationships/hyperlink" Target="https://maps.google.com/?q=16.704936,-94.769422" TargetMode="External"/><Relationship Id="rId1239" Type="http://schemas.openxmlformats.org/officeDocument/2006/relationships/hyperlink" Target="https://maps.google.com/?q=16.77893044,-96.953459679999995" TargetMode="External"/><Relationship Id="rId1793" Type="http://schemas.openxmlformats.org/officeDocument/2006/relationships/hyperlink" Target="https://maps.google.com/?q=15.773205,-96.142012600000001" TargetMode="External"/><Relationship Id="rId2637" Type="http://schemas.openxmlformats.org/officeDocument/2006/relationships/hyperlink" Target="https://maps.google.com/?q=17.986289798311,-96.099918696924306" TargetMode="External"/><Relationship Id="rId2844" Type="http://schemas.openxmlformats.org/officeDocument/2006/relationships/hyperlink" Target="https://maps.google.com/?q=17.0360843729985,-97.507857210628003" TargetMode="External"/><Relationship Id="rId85" Type="http://schemas.openxmlformats.org/officeDocument/2006/relationships/hyperlink" Target="https://maps.google.com/?q=17.0078581086326,-96.890800908073501" TargetMode="External"/><Relationship Id="rId816" Type="http://schemas.openxmlformats.org/officeDocument/2006/relationships/hyperlink" Target="https://maps.google.com/?q=16.71012705,-94.747332700000001" TargetMode="External"/><Relationship Id="rId1446" Type="http://schemas.openxmlformats.org/officeDocument/2006/relationships/hyperlink" Target="https://maps.google.com/?q=16.78881266,-96.893989230000003" TargetMode="External"/><Relationship Id="rId1653" Type="http://schemas.openxmlformats.org/officeDocument/2006/relationships/hyperlink" Target="https://maps.google.com/?q=17.334497,-97.870947999999999" TargetMode="External"/><Relationship Id="rId1860" Type="http://schemas.openxmlformats.org/officeDocument/2006/relationships/hyperlink" Target="https://maps.google.com/?q=17.672040135147718,-97.96421084246737" TargetMode="External"/><Relationship Id="rId2704" Type="http://schemas.openxmlformats.org/officeDocument/2006/relationships/hyperlink" Target="https://maps.google.com/?q=18.06033589007,-96.146714201223404" TargetMode="External"/><Relationship Id="rId2911" Type="http://schemas.openxmlformats.org/officeDocument/2006/relationships/hyperlink" Target="https://maps.google.com/?q=17.324288,-98.240200999999999" TargetMode="External"/><Relationship Id="rId1306" Type="http://schemas.openxmlformats.org/officeDocument/2006/relationships/hyperlink" Target="https://maps.google.com/?q=16.78653458,-96.897960069999996" TargetMode="External"/><Relationship Id="rId1513" Type="http://schemas.openxmlformats.org/officeDocument/2006/relationships/hyperlink" Target="https://maps.google.com/?q=16.78928858,-96.89518047" TargetMode="External"/><Relationship Id="rId1720" Type="http://schemas.openxmlformats.org/officeDocument/2006/relationships/hyperlink" Target="https://maps.google.com/?q=16.788105,-96.791634000000002" TargetMode="External"/><Relationship Id="rId12" Type="http://schemas.openxmlformats.org/officeDocument/2006/relationships/hyperlink" Target="https://maps.google.com/?q=15.97942637,-95.675249870000002" TargetMode="External"/><Relationship Id="rId399" Type="http://schemas.openxmlformats.org/officeDocument/2006/relationships/hyperlink" Target="https://maps.google.com/?q=16.495975,-97.584142" TargetMode="External"/><Relationship Id="rId2287" Type="http://schemas.openxmlformats.org/officeDocument/2006/relationships/hyperlink" Target="https://maps.google.com/?q=16.500512,-96.106790000000004" TargetMode="External"/><Relationship Id="rId2494" Type="http://schemas.openxmlformats.org/officeDocument/2006/relationships/hyperlink" Target="https://maps.google.com/?q=16.38525960527008,-96.839827309873414" TargetMode="External"/><Relationship Id="rId259" Type="http://schemas.openxmlformats.org/officeDocument/2006/relationships/hyperlink" Target="https://maps.google.com/?q=16.9705507831726,-97.032500411044893" TargetMode="External"/><Relationship Id="rId466" Type="http://schemas.openxmlformats.org/officeDocument/2006/relationships/hyperlink" Target="https://maps.google.com/?q=17.42169,-96.930918000000005" TargetMode="External"/><Relationship Id="rId673" Type="http://schemas.openxmlformats.org/officeDocument/2006/relationships/hyperlink" Target="https://maps.google.com/?q=17.2567651256492,-98.260878658895507" TargetMode="External"/><Relationship Id="rId880" Type="http://schemas.openxmlformats.org/officeDocument/2006/relationships/hyperlink" Target="https://maps.google.com/?q=16.7150006256454,-94.749035578667801" TargetMode="External"/><Relationship Id="rId1096" Type="http://schemas.openxmlformats.org/officeDocument/2006/relationships/hyperlink" Target="https://maps.google.com/?q=17.38106,-96.160737999999995" TargetMode="External"/><Relationship Id="rId2147" Type="http://schemas.openxmlformats.org/officeDocument/2006/relationships/hyperlink" Target="https://maps.google.com/?q=17.207464,-96.801094000000006" TargetMode="External"/><Relationship Id="rId2354" Type="http://schemas.openxmlformats.org/officeDocument/2006/relationships/hyperlink" Target="https://maps.google.com/?q=16.95558,-96.479206000000005" TargetMode="External"/><Relationship Id="rId2561" Type="http://schemas.openxmlformats.org/officeDocument/2006/relationships/hyperlink" Target="https://maps.google.com/?q=16.387236477190136,-96.840221438288097" TargetMode="External"/><Relationship Id="rId119" Type="http://schemas.openxmlformats.org/officeDocument/2006/relationships/hyperlink" Target="https://maps.google.com/?q=16.958426582622,-96.898708618096805" TargetMode="External"/><Relationship Id="rId326" Type="http://schemas.openxmlformats.org/officeDocument/2006/relationships/hyperlink" Target="https://maps.google.com/?q=16.5159801204319,-97.780643614551494" TargetMode="External"/><Relationship Id="rId533" Type="http://schemas.openxmlformats.org/officeDocument/2006/relationships/hyperlink" Target="https://maps.google.com/?q=17.1473906793111,-97.700885572739196" TargetMode="External"/><Relationship Id="rId1163" Type="http://schemas.openxmlformats.org/officeDocument/2006/relationships/hyperlink" Target="https://maps.google.com/?q=17.382244,-96.160932000000003" TargetMode="External"/><Relationship Id="rId1370" Type="http://schemas.openxmlformats.org/officeDocument/2006/relationships/hyperlink" Target="https://maps.google.com/?q=16.78791308,-96.921562140000006" TargetMode="External"/><Relationship Id="rId2007" Type="http://schemas.openxmlformats.org/officeDocument/2006/relationships/hyperlink" Target="https://maps.google.com/?q=17.801687,-96.959688" TargetMode="External"/><Relationship Id="rId2214" Type="http://schemas.openxmlformats.org/officeDocument/2006/relationships/hyperlink" Target="https://maps.google.com/?q=17.501442,-98.142583999999999" TargetMode="External"/><Relationship Id="rId740" Type="http://schemas.openxmlformats.org/officeDocument/2006/relationships/hyperlink" Target="https://maps.google.com/?q=16.8805307193678,-95.027741000000006" TargetMode="External"/><Relationship Id="rId1023" Type="http://schemas.openxmlformats.org/officeDocument/2006/relationships/hyperlink" Target="https://maps.google.com/?q=17.380302,-96.159882999999994" TargetMode="External"/><Relationship Id="rId2421" Type="http://schemas.openxmlformats.org/officeDocument/2006/relationships/hyperlink" Target="https://maps.google.com/?q=16.3838079859433,-96.843468964712926" TargetMode="External"/><Relationship Id="rId600" Type="http://schemas.openxmlformats.org/officeDocument/2006/relationships/hyperlink" Target="https://maps.google.com/?q=17.2716999641683,-98.272642047435099" TargetMode="External"/><Relationship Id="rId1230" Type="http://schemas.openxmlformats.org/officeDocument/2006/relationships/hyperlink" Target="https://maps.google.com/?q=17.103411769,-96.774356107" TargetMode="External"/><Relationship Id="rId3195" Type="http://schemas.openxmlformats.org/officeDocument/2006/relationships/hyperlink" Target="https://maps.google.com/?q=16.332014,-95.231966" TargetMode="External"/><Relationship Id="rId3055" Type="http://schemas.openxmlformats.org/officeDocument/2006/relationships/hyperlink" Target="https://maps.google.com/?q=16.4281848667131,-95.009020367476495" TargetMode="External"/><Relationship Id="rId3262" Type="http://schemas.openxmlformats.org/officeDocument/2006/relationships/hyperlink" Target="https://maps.google.com/?q=15.821802,-96.275135" TargetMode="External"/><Relationship Id="rId183" Type="http://schemas.openxmlformats.org/officeDocument/2006/relationships/hyperlink" Target="https://maps.google.com/?q=16.7830393108903,-96.579083851520707" TargetMode="External"/><Relationship Id="rId390" Type="http://schemas.openxmlformats.org/officeDocument/2006/relationships/hyperlink" Target="https://maps.google.com/?q=16.491371,-97.580239000000006" TargetMode="External"/><Relationship Id="rId1907" Type="http://schemas.openxmlformats.org/officeDocument/2006/relationships/hyperlink" Target="https://maps.google.com/?q=17.207464,-96.801094000000006" TargetMode="External"/><Relationship Id="rId2071" Type="http://schemas.openxmlformats.org/officeDocument/2006/relationships/hyperlink" Target="https://maps.google.com/?q=15.746144,-96.465182999999996" TargetMode="External"/><Relationship Id="rId3122" Type="http://schemas.openxmlformats.org/officeDocument/2006/relationships/hyperlink" Target="https://maps.google.com/?q=16.4388604667805,-95.019903473856104" TargetMode="External"/><Relationship Id="rId250" Type="http://schemas.openxmlformats.org/officeDocument/2006/relationships/hyperlink" Target="https://maps.google.com/?q=16.9840947245202,-97.020805128836002" TargetMode="External"/><Relationship Id="rId110" Type="http://schemas.openxmlformats.org/officeDocument/2006/relationships/hyperlink" Target="https://maps.google.com/?q=16.9735352348913,-96.910242624774597" TargetMode="External"/><Relationship Id="rId2888" Type="http://schemas.openxmlformats.org/officeDocument/2006/relationships/hyperlink" Target="https://maps.google.com/?q=17.319912,-98.239016000000007" TargetMode="External"/><Relationship Id="rId1697" Type="http://schemas.openxmlformats.org/officeDocument/2006/relationships/hyperlink" Target="https://maps.google.com/?q=17.28537,-97.870664000000005" TargetMode="External"/><Relationship Id="rId2748" Type="http://schemas.openxmlformats.org/officeDocument/2006/relationships/hyperlink" Target="https://maps.google.com/?q=18.079622,-96.175483999999997" TargetMode="External"/><Relationship Id="rId2955" Type="http://schemas.openxmlformats.org/officeDocument/2006/relationships/hyperlink" Target="https://maps.google.com/?q=17.429568202041,-98.291129505800399" TargetMode="External"/><Relationship Id="rId927" Type="http://schemas.openxmlformats.org/officeDocument/2006/relationships/hyperlink" Target="https://maps.google.com/?q=16.674445,-94.776409999999998" TargetMode="External"/><Relationship Id="rId1557" Type="http://schemas.openxmlformats.org/officeDocument/2006/relationships/hyperlink" Target="https://maps.google.com/?q=16.789744840038537,-96.900982071615928" TargetMode="External"/><Relationship Id="rId1764" Type="http://schemas.openxmlformats.org/officeDocument/2006/relationships/hyperlink" Target="https://maps.google.com/?q=17.310363,-96.910270999999995" TargetMode="External"/><Relationship Id="rId1971" Type="http://schemas.openxmlformats.org/officeDocument/2006/relationships/hyperlink" Target="https://maps.google.com/?q=17.33873,-96.152553999999995" TargetMode="External"/><Relationship Id="rId2608" Type="http://schemas.openxmlformats.org/officeDocument/2006/relationships/hyperlink" Target="https://maps.google.com/?q=16.398577692576925,-96.841048854691508" TargetMode="External"/><Relationship Id="rId2815" Type="http://schemas.openxmlformats.org/officeDocument/2006/relationships/hyperlink" Target="https://maps.google.com/?q=17.0129088730444,-97.500471976686498" TargetMode="External"/><Relationship Id="rId56" Type="http://schemas.openxmlformats.org/officeDocument/2006/relationships/hyperlink" Target="https://maps.google.com/?q=16.9799540872364,-96.891187901342207" TargetMode="External"/><Relationship Id="rId1417" Type="http://schemas.openxmlformats.org/officeDocument/2006/relationships/hyperlink" Target="https://maps.google.com/?q=16.78859449,-96.893518" TargetMode="External"/><Relationship Id="rId1624" Type="http://schemas.openxmlformats.org/officeDocument/2006/relationships/hyperlink" Target="https://maps.google.com/?q=17.25656,-97.810400" TargetMode="External"/><Relationship Id="rId1831" Type="http://schemas.openxmlformats.org/officeDocument/2006/relationships/hyperlink" Target="https://maps.google.com/?q=17.273079,-96.799574" TargetMode="External"/><Relationship Id="rId2398" Type="http://schemas.openxmlformats.org/officeDocument/2006/relationships/hyperlink" Target="https://maps.google.com/?q=16.38291675896061,-96.843741036824142" TargetMode="External"/><Relationship Id="rId577" Type="http://schemas.openxmlformats.org/officeDocument/2006/relationships/hyperlink" Target="https://maps.google.com/?q=17.1798075652336,-98.197016658895507" TargetMode="External"/><Relationship Id="rId2258" Type="http://schemas.openxmlformats.org/officeDocument/2006/relationships/hyperlink" Target="https://maps.google.com/?q=16.519807,-96.983885000000001" TargetMode="External"/><Relationship Id="rId784" Type="http://schemas.openxmlformats.org/officeDocument/2006/relationships/hyperlink" Target="https://maps.google.com/?q=16.884566,-95.019361000000004" TargetMode="External"/><Relationship Id="rId991" Type="http://schemas.openxmlformats.org/officeDocument/2006/relationships/hyperlink" Target="https://maps.google.com/?q=17.379907,-96.162913000000003" TargetMode="External"/><Relationship Id="rId1067" Type="http://schemas.openxmlformats.org/officeDocument/2006/relationships/hyperlink" Target="https://maps.google.com/?q=17.380764,-96.161269000000004" TargetMode="External"/><Relationship Id="rId2465" Type="http://schemas.openxmlformats.org/officeDocument/2006/relationships/hyperlink" Target="https://maps.google.com/?q=16.38458158751225,-96.843790508318904" TargetMode="External"/><Relationship Id="rId2672" Type="http://schemas.openxmlformats.org/officeDocument/2006/relationships/hyperlink" Target="https://maps.google.com/?q=18.051987,-96.139571000000004" TargetMode="External"/><Relationship Id="rId437" Type="http://schemas.openxmlformats.org/officeDocument/2006/relationships/hyperlink" Target="https://maps.google.com/?q=17.40981415,-97.013146259999999" TargetMode="External"/><Relationship Id="rId644" Type="http://schemas.openxmlformats.org/officeDocument/2006/relationships/hyperlink" Target="https://maps.google.com/?q=17.21925082,-98.190804999999997" TargetMode="External"/><Relationship Id="rId851" Type="http://schemas.openxmlformats.org/officeDocument/2006/relationships/hyperlink" Target="https://maps.google.com/?q=16.71379,-94.749187000000006" TargetMode="External"/><Relationship Id="rId1274" Type="http://schemas.openxmlformats.org/officeDocument/2006/relationships/hyperlink" Target="https://maps.google.com/?q=16.78212987,-96.947330940000001" TargetMode="External"/><Relationship Id="rId1481" Type="http://schemas.openxmlformats.org/officeDocument/2006/relationships/hyperlink" Target="https://maps.google.com/?q=16.78910628,-96.895386860000002" TargetMode="External"/><Relationship Id="rId2118" Type="http://schemas.openxmlformats.org/officeDocument/2006/relationships/hyperlink" Target="https://maps.google.com/?q=17.267449,-97.680485000000004" TargetMode="External"/><Relationship Id="rId2325" Type="http://schemas.openxmlformats.org/officeDocument/2006/relationships/hyperlink" Target="https://maps.google.com/?q=17.027131,-96.077044000000001" TargetMode="External"/><Relationship Id="rId2532" Type="http://schemas.openxmlformats.org/officeDocument/2006/relationships/hyperlink" Target="https://maps.google.com/?q=16.386143281323122,-96.840293235683163" TargetMode="External"/><Relationship Id="rId504" Type="http://schemas.openxmlformats.org/officeDocument/2006/relationships/hyperlink" Target="https://maps.google.com/?q=17.3264336637979,-96.942771666421905" TargetMode="External"/><Relationship Id="rId711" Type="http://schemas.openxmlformats.org/officeDocument/2006/relationships/hyperlink" Target="https://maps.google.com/?q=17.2600081605752,-98.2626403411045" TargetMode="External"/><Relationship Id="rId1134" Type="http://schemas.openxmlformats.org/officeDocument/2006/relationships/hyperlink" Target="https://maps.google.com/?q=17.381648,-96.162064000000001" TargetMode="External"/><Relationship Id="rId1341" Type="http://schemas.openxmlformats.org/officeDocument/2006/relationships/hyperlink" Target="https://maps.google.com/?q=16.7873428,-96.913852250000005" TargetMode="External"/><Relationship Id="rId1201" Type="http://schemas.openxmlformats.org/officeDocument/2006/relationships/hyperlink" Target="https://maps.google.com/?q=17.103742,%20-96.775510" TargetMode="External"/><Relationship Id="rId3099" Type="http://schemas.openxmlformats.org/officeDocument/2006/relationships/hyperlink" Target="https://maps.google.com/?q=16.4357518793336,-95.028281302906706" TargetMode="External"/><Relationship Id="rId3166" Type="http://schemas.openxmlformats.org/officeDocument/2006/relationships/hyperlink" Target="https://maps.google.com/?q=16.4493390546831,-95.007110034681801" TargetMode="External"/><Relationship Id="rId294" Type="http://schemas.openxmlformats.org/officeDocument/2006/relationships/hyperlink" Target="https://maps.google.com/?q=16.6149904101636,-97.788317888568599" TargetMode="External"/><Relationship Id="rId2182" Type="http://schemas.openxmlformats.org/officeDocument/2006/relationships/hyperlink" Target="https://maps.google.com/?q=17.361766,-95.922253999999995" TargetMode="External"/><Relationship Id="rId3026" Type="http://schemas.openxmlformats.org/officeDocument/2006/relationships/hyperlink" Target="https://maps.google.com/?q=16.4256927765703,-95.013938163655993" TargetMode="External"/><Relationship Id="rId3233" Type="http://schemas.openxmlformats.org/officeDocument/2006/relationships/hyperlink" Target="https://maps.google.com/?q=16.95558,-96.479206000000005" TargetMode="External"/><Relationship Id="rId154" Type="http://schemas.openxmlformats.org/officeDocument/2006/relationships/hyperlink" Target="https://maps.google.com/?q=16.7809241662611,-96.582212612268506" TargetMode="External"/><Relationship Id="rId361" Type="http://schemas.openxmlformats.org/officeDocument/2006/relationships/hyperlink" Target="https://maps.google.com/?q=16.5000430796907,-97.781173752778599" TargetMode="External"/><Relationship Id="rId2042" Type="http://schemas.openxmlformats.org/officeDocument/2006/relationships/hyperlink" Target="https://maps.google.com/?q=16.237076,-97.292351999999994" TargetMode="External"/><Relationship Id="rId2999" Type="http://schemas.openxmlformats.org/officeDocument/2006/relationships/hyperlink" Target="https://maps.google.com/?q=16.4219768037893,-95.023960293971598" TargetMode="External"/><Relationship Id="rId221" Type="http://schemas.openxmlformats.org/officeDocument/2006/relationships/hyperlink" Target="https://maps.google.com/?q=16.7867347608573,-96.579036625517304" TargetMode="External"/><Relationship Id="rId2859" Type="http://schemas.openxmlformats.org/officeDocument/2006/relationships/hyperlink" Target="https://maps.google.com/?q=17.0101240027088,-97.465596317790997" TargetMode="External"/><Relationship Id="rId1668" Type="http://schemas.openxmlformats.org/officeDocument/2006/relationships/hyperlink" Target="https://maps.google.com/?q=17.25697176,-97.887676970569601" TargetMode="External"/><Relationship Id="rId1875" Type="http://schemas.openxmlformats.org/officeDocument/2006/relationships/hyperlink" Target="https://maps.google.com/?q=17.027131,-96.077044000000001" TargetMode="External"/><Relationship Id="rId2719" Type="http://schemas.openxmlformats.org/officeDocument/2006/relationships/hyperlink" Target="https://maps.google.com/?q=18.0624150606357,-96.144501321012996" TargetMode="External"/><Relationship Id="rId1528" Type="http://schemas.openxmlformats.org/officeDocument/2006/relationships/hyperlink" Target="https://maps.google.com/?q=16.78947139,-96.894525830000006" TargetMode="External"/><Relationship Id="rId2926" Type="http://schemas.openxmlformats.org/officeDocument/2006/relationships/hyperlink" Target="https://maps.google.com/?q=17.3370735543014,-98.172372157366297" TargetMode="External"/><Relationship Id="rId3090" Type="http://schemas.openxmlformats.org/officeDocument/2006/relationships/hyperlink" Target="https://maps.google.com/?q=16.4328301296973,-95.033211775027894" TargetMode="External"/><Relationship Id="rId1735" Type="http://schemas.openxmlformats.org/officeDocument/2006/relationships/hyperlink" Target="https://maps.google.com/?q=16.327529,-96.585717000000002" TargetMode="External"/><Relationship Id="rId1942" Type="http://schemas.openxmlformats.org/officeDocument/2006/relationships/hyperlink" Target="https://maps.google.com/?q=17.361766,-95.922253999999995" TargetMode="External"/><Relationship Id="rId27" Type="http://schemas.openxmlformats.org/officeDocument/2006/relationships/hyperlink" Target="https://maps.google.com/?q=15.9875347,-95.672385379999994" TargetMode="External"/><Relationship Id="rId1802" Type="http://schemas.openxmlformats.org/officeDocument/2006/relationships/hyperlink" Target="https://maps.google.com/?q=15.7732845,-96.144299700000005" TargetMode="External"/><Relationship Id="rId688" Type="http://schemas.openxmlformats.org/officeDocument/2006/relationships/hyperlink" Target="https://maps.google.com/?q=17.2581286782706,-98.261574200069305" TargetMode="External"/><Relationship Id="rId895" Type="http://schemas.openxmlformats.org/officeDocument/2006/relationships/hyperlink" Target="https://maps.google.com/?q=16.715620478537,-94.745742011656802" TargetMode="External"/><Relationship Id="rId2369" Type="http://schemas.openxmlformats.org/officeDocument/2006/relationships/hyperlink" Target="https://maps.google.com/?q=17.806621,-97.776161999999999" TargetMode="External"/><Relationship Id="rId2576" Type="http://schemas.openxmlformats.org/officeDocument/2006/relationships/hyperlink" Target="https://maps.google.com/?q=16.387960707279092,-96.837831526231994" TargetMode="External"/><Relationship Id="rId2783" Type="http://schemas.openxmlformats.org/officeDocument/2006/relationships/hyperlink" Target="https://maps.google.com/?q=18.0871515622725,-96.170954581339402" TargetMode="External"/><Relationship Id="rId2990" Type="http://schemas.openxmlformats.org/officeDocument/2006/relationships/hyperlink" Target="https://maps.google.com/?q=16.417622237462,-95.025633163191998" TargetMode="External"/><Relationship Id="rId548" Type="http://schemas.openxmlformats.org/officeDocument/2006/relationships/hyperlink" Target="https://maps.google.com/?q=17.063016,-96.821384" TargetMode="External"/><Relationship Id="rId755" Type="http://schemas.openxmlformats.org/officeDocument/2006/relationships/hyperlink" Target="https://maps.google.com/?q=16.8179588626377,-95.118361062209004" TargetMode="External"/><Relationship Id="rId962" Type="http://schemas.openxmlformats.org/officeDocument/2006/relationships/hyperlink" Target="https://maps.google.com/?q=17.378702,-96.160452000000006" TargetMode="External"/><Relationship Id="rId1178" Type="http://schemas.openxmlformats.org/officeDocument/2006/relationships/hyperlink" Target="https://maps.google.com/?q=17.383836,-96.161882000000006" TargetMode="External"/><Relationship Id="rId1385" Type="http://schemas.openxmlformats.org/officeDocument/2006/relationships/hyperlink" Target="https://maps.google.com/?q=16.78805757,-96.894552570000002" TargetMode="External"/><Relationship Id="rId1592" Type="http://schemas.openxmlformats.org/officeDocument/2006/relationships/hyperlink" Target="https://maps.google.com/?q=16.7901322,-96.898747720000003" TargetMode="External"/><Relationship Id="rId2229" Type="http://schemas.openxmlformats.org/officeDocument/2006/relationships/hyperlink" Target="https://maps.google.com/?q=16.564244,-96.731829000000005" TargetMode="External"/><Relationship Id="rId2436" Type="http://schemas.openxmlformats.org/officeDocument/2006/relationships/hyperlink" Target="https://maps.google.com/?q=16.38416083152685,-96.845099289264297" TargetMode="External"/><Relationship Id="rId2643" Type="http://schemas.openxmlformats.org/officeDocument/2006/relationships/hyperlink" Target="https://maps.google.com/?q=18.1171096080792,-95.997660600962405" TargetMode="External"/><Relationship Id="rId2850" Type="http://schemas.openxmlformats.org/officeDocument/2006/relationships/hyperlink" Target="https://maps.google.com/?q=17.0397817204816,-97.509886658895397" TargetMode="External"/><Relationship Id="rId91" Type="http://schemas.openxmlformats.org/officeDocument/2006/relationships/hyperlink" Target="https://maps.google.com/?q=17.0099830944573,-96.890860822090204" TargetMode="External"/><Relationship Id="rId408" Type="http://schemas.openxmlformats.org/officeDocument/2006/relationships/hyperlink" Target="https://maps.google.com/?q=17.40100715,-96.927878919999998" TargetMode="External"/><Relationship Id="rId615" Type="http://schemas.openxmlformats.org/officeDocument/2006/relationships/hyperlink" Target="https://maps.google.com/?q=17.2748573974704,-98.278183034393194" TargetMode="External"/><Relationship Id="rId822" Type="http://schemas.openxmlformats.org/officeDocument/2006/relationships/hyperlink" Target="https://maps.google.com/?q=16.7121873,-94.745353199999997" TargetMode="External"/><Relationship Id="rId1038" Type="http://schemas.openxmlformats.org/officeDocument/2006/relationships/hyperlink" Target="https://maps.google.com/?q=17.38045,-96.161784999999995" TargetMode="External"/><Relationship Id="rId1245" Type="http://schemas.openxmlformats.org/officeDocument/2006/relationships/hyperlink" Target="https://maps.google.com/?q=16.78001087,-96.951339939999997" TargetMode="External"/><Relationship Id="rId1452" Type="http://schemas.openxmlformats.org/officeDocument/2006/relationships/hyperlink" Target="https://maps.google.com/?q=16.78886958,-96.912581230000001" TargetMode="External"/><Relationship Id="rId2503" Type="http://schemas.openxmlformats.org/officeDocument/2006/relationships/hyperlink" Target="https://maps.google.com/?q=16.38539791830728,-96.838066817677387" TargetMode="External"/><Relationship Id="rId1105" Type="http://schemas.openxmlformats.org/officeDocument/2006/relationships/hyperlink" Target="https://maps.google.com/?q=17.38116,-96.160250000000005" TargetMode="External"/><Relationship Id="rId1312" Type="http://schemas.openxmlformats.org/officeDocument/2006/relationships/hyperlink" Target="https://maps.google.com/?q=16.786714222303587,-96.903124689123359" TargetMode="External"/><Relationship Id="rId2710" Type="http://schemas.openxmlformats.org/officeDocument/2006/relationships/hyperlink" Target="https://maps.google.com/?q=18.0611035041098,-96.146662065418496" TargetMode="External"/><Relationship Id="rId3277" Type="http://schemas.openxmlformats.org/officeDocument/2006/relationships/hyperlink" Target="https://maps.google.com/?q=18.124556,%09-97.079059" TargetMode="External"/><Relationship Id="rId198" Type="http://schemas.openxmlformats.org/officeDocument/2006/relationships/hyperlink" Target="https://maps.google.com/?q=16.7838743109638,-96.579849862335607" TargetMode="External"/><Relationship Id="rId2086" Type="http://schemas.openxmlformats.org/officeDocument/2006/relationships/hyperlink" Target="https://maps.google.com/?q=17.063778,-96.729971000000006" TargetMode="External"/><Relationship Id="rId2293" Type="http://schemas.openxmlformats.org/officeDocument/2006/relationships/hyperlink" Target="https://maps.google.com/?q=16.95558,-96.479206000000005" TargetMode="External"/><Relationship Id="rId3137" Type="http://schemas.openxmlformats.org/officeDocument/2006/relationships/hyperlink" Target="https://maps.google.com/?q=16.4399445669173,-95.029708741199698" TargetMode="External"/><Relationship Id="rId265" Type="http://schemas.openxmlformats.org/officeDocument/2006/relationships/hyperlink" Target="https://maps.google.com/?q=17.1201488760089,-96.974786635581907" TargetMode="External"/><Relationship Id="rId472" Type="http://schemas.openxmlformats.org/officeDocument/2006/relationships/hyperlink" Target="https://maps.google.com/?q=17.423001,-96.931449000000001" TargetMode="External"/><Relationship Id="rId2153" Type="http://schemas.openxmlformats.org/officeDocument/2006/relationships/hyperlink" Target="https://maps.google.com/?q=17.458341,-97.225285" TargetMode="External"/><Relationship Id="rId2360" Type="http://schemas.openxmlformats.org/officeDocument/2006/relationships/hyperlink" Target="https://maps.google.com/?q=17.331248,-96.487900999999994" TargetMode="External"/><Relationship Id="rId3204" Type="http://schemas.openxmlformats.org/officeDocument/2006/relationships/hyperlink" Target="https://maps.google.com/?q=17.026216,-97.928115000000005" TargetMode="External"/><Relationship Id="rId125" Type="http://schemas.openxmlformats.org/officeDocument/2006/relationships/hyperlink" Target="https://maps.google.com/?q=16.7779892338988,-96.575627078539" TargetMode="External"/><Relationship Id="rId332" Type="http://schemas.openxmlformats.org/officeDocument/2006/relationships/hyperlink" Target="https://maps.google.com/?q=16.517738859179,-97.782504106745904" TargetMode="External"/><Relationship Id="rId2013" Type="http://schemas.openxmlformats.org/officeDocument/2006/relationships/hyperlink" Target="https://maps.google.com/?q=16.279058,-97.820240999999996" TargetMode="External"/><Relationship Id="rId2220" Type="http://schemas.openxmlformats.org/officeDocument/2006/relationships/hyperlink" Target="https://maps.google.com/?q=18.13222,-97.070751000000001" TargetMode="External"/><Relationship Id="rId1779" Type="http://schemas.openxmlformats.org/officeDocument/2006/relationships/hyperlink" Target="https://maps.google.com/?q=15.7730362,-96.136506999999995" TargetMode="External"/><Relationship Id="rId1986" Type="http://schemas.openxmlformats.org/officeDocument/2006/relationships/hyperlink" Target="https://maps.google.com/?q=16.433347,-95.021687" TargetMode="External"/><Relationship Id="rId1639" Type="http://schemas.openxmlformats.org/officeDocument/2006/relationships/hyperlink" Target="https://maps.google.com/?q=17.24897065,-97.800943820000001" TargetMode="External"/><Relationship Id="rId1846" Type="http://schemas.openxmlformats.org/officeDocument/2006/relationships/hyperlink" Target="https://maps.google.com/?q=17.821403,-97.732729000000006" TargetMode="External"/><Relationship Id="rId3061" Type="http://schemas.openxmlformats.org/officeDocument/2006/relationships/hyperlink" Target="https://maps.google.com/?q=16.428698100652,-95.030423351545394" TargetMode="External"/><Relationship Id="rId1706" Type="http://schemas.openxmlformats.org/officeDocument/2006/relationships/hyperlink" Target="https://maps.google.com/?q=17.337196882025,-97.932215976686507" TargetMode="External"/><Relationship Id="rId1913" Type="http://schemas.openxmlformats.org/officeDocument/2006/relationships/hyperlink" Target="https://maps.google.com/?q=17.458341,-97.225285" TargetMode="External"/><Relationship Id="rId799" Type="http://schemas.openxmlformats.org/officeDocument/2006/relationships/hyperlink" Target="https://maps.google.com/?q=16.8947954188018,-95.037284565641599" TargetMode="External"/><Relationship Id="rId2687" Type="http://schemas.openxmlformats.org/officeDocument/2006/relationships/hyperlink" Target="https://maps.google.com/?q=18.052866,-96.139771999999994" TargetMode="External"/><Relationship Id="rId2894" Type="http://schemas.openxmlformats.org/officeDocument/2006/relationships/hyperlink" Target="https://maps.google.com/?q=17.320407,-98.238989000000004" TargetMode="External"/><Relationship Id="rId659" Type="http://schemas.openxmlformats.org/officeDocument/2006/relationships/hyperlink" Target="https://maps.google.com/?q=17.22219285,-98.193273259999998" TargetMode="External"/><Relationship Id="rId866" Type="http://schemas.openxmlformats.org/officeDocument/2006/relationships/hyperlink" Target="https://maps.google.com/?q=16.714526,-94.749450999999993" TargetMode="External"/><Relationship Id="rId1289" Type="http://schemas.openxmlformats.org/officeDocument/2006/relationships/hyperlink" Target="https://maps.google.com/?q=16.78438989,-96.933140339999994" TargetMode="External"/><Relationship Id="rId1496" Type="http://schemas.openxmlformats.org/officeDocument/2006/relationships/hyperlink" Target="https://maps.google.com/?q=16.78919052,-96.898368039999994" TargetMode="External"/><Relationship Id="rId2547" Type="http://schemas.openxmlformats.org/officeDocument/2006/relationships/hyperlink" Target="https://maps.google.com/?q=16.38680772150331,-96.838191453295394" TargetMode="External"/><Relationship Id="rId519" Type="http://schemas.openxmlformats.org/officeDocument/2006/relationships/hyperlink" Target="https://maps.google.com/?q=17.1299061804295,-97.702865128974594" TargetMode="External"/><Relationship Id="rId1149" Type="http://schemas.openxmlformats.org/officeDocument/2006/relationships/hyperlink" Target="https://maps.google.com/?q=17.381927,-96.161186000000001" TargetMode="External"/><Relationship Id="rId1356" Type="http://schemas.openxmlformats.org/officeDocument/2006/relationships/hyperlink" Target="https://maps.google.com/?q=16.78767394,-96.900173609999996" TargetMode="External"/><Relationship Id="rId2754" Type="http://schemas.openxmlformats.org/officeDocument/2006/relationships/hyperlink" Target="https://maps.google.com/?q=18.0818341833202,-96.176303466270497" TargetMode="External"/><Relationship Id="rId2961" Type="http://schemas.openxmlformats.org/officeDocument/2006/relationships/hyperlink" Target="https://maps.google.com/?q=17.43101,-98.291244000000006" TargetMode="External"/><Relationship Id="rId726" Type="http://schemas.openxmlformats.org/officeDocument/2006/relationships/hyperlink" Target="https://maps.google.com/?q=16.8888955692137,-95.029357364418004" TargetMode="External"/><Relationship Id="rId933" Type="http://schemas.openxmlformats.org/officeDocument/2006/relationships/hyperlink" Target="https://maps.google.com/?q=16.6755659092107,-94.775516653355595" TargetMode="External"/><Relationship Id="rId1009" Type="http://schemas.openxmlformats.org/officeDocument/2006/relationships/hyperlink" Target="https://maps.google.com/?q=17.380118,-96.161762999999993" TargetMode="External"/><Relationship Id="rId1563" Type="http://schemas.openxmlformats.org/officeDocument/2006/relationships/hyperlink" Target="https://maps.google.com/?q=16.78978914,-96.895897540000007" TargetMode="External"/><Relationship Id="rId1770" Type="http://schemas.openxmlformats.org/officeDocument/2006/relationships/hyperlink" Target="https://maps.google.com/?q=17.311918,-96.912143" TargetMode="External"/><Relationship Id="rId2407" Type="http://schemas.openxmlformats.org/officeDocument/2006/relationships/hyperlink" Target="https://maps.google.com/?q=16.383216361986204,-96.841925086189491" TargetMode="External"/><Relationship Id="rId2614" Type="http://schemas.openxmlformats.org/officeDocument/2006/relationships/hyperlink" Target="https://maps.google.com/?q=18.0900277478977,-96.100489345117893" TargetMode="External"/><Relationship Id="rId2821" Type="http://schemas.openxmlformats.org/officeDocument/2006/relationships/hyperlink" Target="https://maps.google.com/?q=17.0146870027095,-97.500872341104596" TargetMode="External"/><Relationship Id="rId62" Type="http://schemas.openxmlformats.org/officeDocument/2006/relationships/hyperlink" Target="https://maps.google.com/?q=16.9822587208424,-96.890915769346094" TargetMode="External"/><Relationship Id="rId1216" Type="http://schemas.openxmlformats.org/officeDocument/2006/relationships/hyperlink" Target="https://maps.google.com/?q=17.099734655,-96.771032643" TargetMode="External"/><Relationship Id="rId1423" Type="http://schemas.openxmlformats.org/officeDocument/2006/relationships/hyperlink" Target="https://maps.google.com/?q=16.78863602,-96.894078590000007" TargetMode="External"/><Relationship Id="rId1630" Type="http://schemas.openxmlformats.org/officeDocument/2006/relationships/hyperlink" Target="https://maps.google.com/?q=17.261519,-97.816565" TargetMode="External"/><Relationship Id="rId2197" Type="http://schemas.openxmlformats.org/officeDocument/2006/relationships/hyperlink" Target="https://maps.google.com/?q=16.500512,-96.106790000000004" TargetMode="External"/><Relationship Id="rId3248" Type="http://schemas.openxmlformats.org/officeDocument/2006/relationships/hyperlink" Target="https://maps.google.com/?q=17.806621,-97.776161999999999" TargetMode="External"/><Relationship Id="rId169" Type="http://schemas.openxmlformats.org/officeDocument/2006/relationships/hyperlink" Target="https://maps.google.com/?q=16.7822236723925,-96.582570254513698" TargetMode="External"/><Relationship Id="rId376" Type="http://schemas.openxmlformats.org/officeDocument/2006/relationships/hyperlink" Target="https://maps.google.com/?q=16.4871450544518,-97.580331863754196" TargetMode="External"/><Relationship Id="rId583" Type="http://schemas.openxmlformats.org/officeDocument/2006/relationships/hyperlink" Target="https://maps.google.com/?q=17.1816502839533,-98.198527341104494" TargetMode="External"/><Relationship Id="rId790" Type="http://schemas.openxmlformats.org/officeDocument/2006/relationships/hyperlink" Target="https://maps.google.com/?q=16.8905248352039,-95.041163317791103" TargetMode="External"/><Relationship Id="rId2057" Type="http://schemas.openxmlformats.org/officeDocument/2006/relationships/hyperlink" Target="https://maps.google.com/?q=17.207464,-96.801094000000006" TargetMode="External"/><Relationship Id="rId2264" Type="http://schemas.openxmlformats.org/officeDocument/2006/relationships/hyperlink" Target="https://maps.google.com/?q=17.026216,-97.928115000000005" TargetMode="External"/><Relationship Id="rId2471" Type="http://schemas.openxmlformats.org/officeDocument/2006/relationships/hyperlink" Target="https://maps.google.com/?q=16.384691270149617,-96.83742547083969" TargetMode="External"/><Relationship Id="rId3108" Type="http://schemas.openxmlformats.org/officeDocument/2006/relationships/hyperlink" Target="https://maps.google.com/?q=16.4372902328191,-95.026286808586505" TargetMode="External"/><Relationship Id="rId236" Type="http://schemas.openxmlformats.org/officeDocument/2006/relationships/hyperlink" Target="https://maps.google.com/?q=17.1062186765645,-96.965774906745906" TargetMode="External"/><Relationship Id="rId443" Type="http://schemas.openxmlformats.org/officeDocument/2006/relationships/hyperlink" Target="https://maps.google.com/?q=17.4150322,-97.013457099999997" TargetMode="External"/><Relationship Id="rId650" Type="http://schemas.openxmlformats.org/officeDocument/2006/relationships/hyperlink" Target="https://maps.google.com/?q=17.22148757,-98.193088439999997" TargetMode="External"/><Relationship Id="rId1073" Type="http://schemas.openxmlformats.org/officeDocument/2006/relationships/hyperlink" Target="https://maps.google.com/?q=17.380852,-96.163675999999995" TargetMode="External"/><Relationship Id="rId1280" Type="http://schemas.openxmlformats.org/officeDocument/2006/relationships/hyperlink" Target="https://maps.google.com/?q=16.78259706,-96.937990819999996" TargetMode="External"/><Relationship Id="rId2124" Type="http://schemas.openxmlformats.org/officeDocument/2006/relationships/hyperlink" Target="https://maps.google.com/?q=17.501442,-98.142583999999999" TargetMode="External"/><Relationship Id="rId2331" Type="http://schemas.openxmlformats.org/officeDocument/2006/relationships/hyperlink" Target="https://maps.google.com/?q=17.33873,-96.152553999999995" TargetMode="External"/><Relationship Id="rId303" Type="http://schemas.openxmlformats.org/officeDocument/2006/relationships/hyperlink" Target="https://maps.google.com/?q=16.6165993616916,-97.791056423971796" TargetMode="External"/><Relationship Id="rId1140" Type="http://schemas.openxmlformats.org/officeDocument/2006/relationships/hyperlink" Target="https://maps.google.com/?q=17.381759,-96.165447999999998" TargetMode="External"/><Relationship Id="rId510" Type="http://schemas.openxmlformats.org/officeDocument/2006/relationships/hyperlink" Target="https://maps.google.com/?q=17.1560467696721,-97.725866492006801" TargetMode="External"/><Relationship Id="rId1000" Type="http://schemas.openxmlformats.org/officeDocument/2006/relationships/hyperlink" Target="https://maps.google.com/?q=17.380006,-96.162182999999999" TargetMode="External"/><Relationship Id="rId1957" Type="http://schemas.openxmlformats.org/officeDocument/2006/relationships/hyperlink" Target="https://maps.google.com/?q=16.500512,-96.106790000000004" TargetMode="External"/><Relationship Id="rId1817" Type="http://schemas.openxmlformats.org/officeDocument/2006/relationships/hyperlink" Target="https://maps.google.com/?q=15.7737771,-96.142732699999996" TargetMode="External"/><Relationship Id="rId3172" Type="http://schemas.openxmlformats.org/officeDocument/2006/relationships/hyperlink" Target="https://maps.google.com/?q=16.4524564403424,-95.008818882200302" TargetMode="External"/><Relationship Id="rId3032" Type="http://schemas.openxmlformats.org/officeDocument/2006/relationships/hyperlink" Target="https://maps.google.com/?q=16.42606358033,-95.029905854170906" TargetMode="External"/><Relationship Id="rId160" Type="http://schemas.openxmlformats.org/officeDocument/2006/relationships/hyperlink" Target="https://maps.google.com/?q=16.781647742789,-96.583186149056502" TargetMode="External"/><Relationship Id="rId2798" Type="http://schemas.openxmlformats.org/officeDocument/2006/relationships/hyperlink" Target="https://maps.google.com/?q=18.096994178225,-96.160493050792397" TargetMode="External"/><Relationship Id="rId977" Type="http://schemas.openxmlformats.org/officeDocument/2006/relationships/hyperlink" Target="https://maps.google.com/?q=17.379673,-96.159878000000006" TargetMode="External"/><Relationship Id="rId2658" Type="http://schemas.openxmlformats.org/officeDocument/2006/relationships/hyperlink" Target="https://maps.google.com/?q=18.0279473128138,-96.152818921461204" TargetMode="External"/><Relationship Id="rId2865" Type="http://schemas.openxmlformats.org/officeDocument/2006/relationships/hyperlink" Target="https://maps.google.com/?q=17.011050937851,-97.465330317791" TargetMode="External"/><Relationship Id="rId837" Type="http://schemas.openxmlformats.org/officeDocument/2006/relationships/hyperlink" Target="https://maps.google.com/?q=16.713063,-94.748303000000007" TargetMode="External"/><Relationship Id="rId1467" Type="http://schemas.openxmlformats.org/officeDocument/2006/relationships/hyperlink" Target="https://maps.google.com/?q=16.78903817,-96.89833419" TargetMode="External"/><Relationship Id="rId1674" Type="http://schemas.openxmlformats.org/officeDocument/2006/relationships/hyperlink" Target="https://maps.google.com/?q=17.25584684,-97.80258061" TargetMode="External"/><Relationship Id="rId1881" Type="http://schemas.openxmlformats.org/officeDocument/2006/relationships/hyperlink" Target="https://maps.google.com/?q=17.33873,-96.152553999999995" TargetMode="External"/><Relationship Id="rId2518" Type="http://schemas.openxmlformats.org/officeDocument/2006/relationships/hyperlink" Target="https://maps.google.com/?q=16.38562793864769,-96.837887027785399" TargetMode="External"/><Relationship Id="rId2725" Type="http://schemas.openxmlformats.org/officeDocument/2006/relationships/hyperlink" Target="https://maps.google.com/?q=18.062974105421,-96.136017449073805" TargetMode="External"/><Relationship Id="rId2932" Type="http://schemas.openxmlformats.org/officeDocument/2006/relationships/hyperlink" Target="https://maps.google.com/?q=17.337566,-98.172128000000001" TargetMode="External"/><Relationship Id="rId904" Type="http://schemas.openxmlformats.org/officeDocument/2006/relationships/hyperlink" Target="https://maps.google.com/?q=16.7163316,-94.745871699999995" TargetMode="External"/><Relationship Id="rId1327" Type="http://schemas.openxmlformats.org/officeDocument/2006/relationships/hyperlink" Target="https://maps.google.com/?q=16.78700071,-96.899859190000001" TargetMode="External"/><Relationship Id="rId1534" Type="http://schemas.openxmlformats.org/officeDocument/2006/relationships/hyperlink" Target="https://maps.google.com/?q=16.78952366,-96.895606560000004" TargetMode="External"/><Relationship Id="rId1741" Type="http://schemas.openxmlformats.org/officeDocument/2006/relationships/hyperlink" Target="https://maps.google.com/?q=16.329092,-96.587219000000005" TargetMode="External"/><Relationship Id="rId33" Type="http://schemas.openxmlformats.org/officeDocument/2006/relationships/hyperlink" Target="https://maps.google.com/?q=15.98789422,-95.674622940000006" TargetMode="External"/><Relationship Id="rId1601" Type="http://schemas.openxmlformats.org/officeDocument/2006/relationships/hyperlink" Target="https://maps.google.com/?q=16.79028781,-96.905373319999995" TargetMode="External"/><Relationship Id="rId487" Type="http://schemas.openxmlformats.org/officeDocument/2006/relationships/hyperlink" Target="https://maps.google.com/?q=17.38243625,-96.919969739999999" TargetMode="External"/><Relationship Id="rId694" Type="http://schemas.openxmlformats.org/officeDocument/2006/relationships/hyperlink" Target="https://maps.google.com/?q=17.2587053386978,-98.262694076057599" TargetMode="External"/><Relationship Id="rId2168" Type="http://schemas.openxmlformats.org/officeDocument/2006/relationships/hyperlink" Target="https://maps.google.com/?q=16.519807,-96.983885000000001" TargetMode="External"/><Relationship Id="rId2375" Type="http://schemas.openxmlformats.org/officeDocument/2006/relationships/hyperlink" Target="https://maps.google.com/?q=16.380257909026312,-96.844820926061672" TargetMode="External"/><Relationship Id="rId3219" Type="http://schemas.openxmlformats.org/officeDocument/2006/relationships/hyperlink" Target="https://maps.google.com/?q=18.081169,-96.118475000000004" TargetMode="External"/><Relationship Id="rId347" Type="http://schemas.openxmlformats.org/officeDocument/2006/relationships/hyperlink" Target="https://maps.google.com/?q=16.49899736257,-97.782574437186398" TargetMode="External"/><Relationship Id="rId1184" Type="http://schemas.openxmlformats.org/officeDocument/2006/relationships/hyperlink" Target="https://maps.google.com/?q=17.100292,%20-96.771500" TargetMode="External"/><Relationship Id="rId2028" Type="http://schemas.openxmlformats.org/officeDocument/2006/relationships/hyperlink" Target="https://maps.google.com/?q=17.267449,-97.680485000000004" TargetMode="External"/><Relationship Id="rId2582" Type="http://schemas.openxmlformats.org/officeDocument/2006/relationships/hyperlink" Target="https://maps.google.com/?q=16.391897306662578,-96.843440711595107" TargetMode="External"/><Relationship Id="rId554" Type="http://schemas.openxmlformats.org/officeDocument/2006/relationships/hyperlink" Target="https://maps.google.com/?q=17.071736,-96.826051" TargetMode="External"/><Relationship Id="rId761" Type="http://schemas.openxmlformats.org/officeDocument/2006/relationships/hyperlink" Target="https://maps.google.com/?q=16.8182123538644,-95.120316000000003" TargetMode="External"/><Relationship Id="rId1391" Type="http://schemas.openxmlformats.org/officeDocument/2006/relationships/hyperlink" Target="https://maps.google.com/?q=16.78819795,-96.899332110000003" TargetMode="External"/><Relationship Id="rId2235" Type="http://schemas.openxmlformats.org/officeDocument/2006/relationships/hyperlink" Target="https://maps.google.com/?q=17.027131,-96.077044000000001" TargetMode="External"/><Relationship Id="rId2442" Type="http://schemas.openxmlformats.org/officeDocument/2006/relationships/hyperlink" Target="https://maps.google.com/?q=16.384275722367583,-96.839910799212774" TargetMode="External"/><Relationship Id="rId207" Type="http://schemas.openxmlformats.org/officeDocument/2006/relationships/hyperlink" Target="https://maps.google.com/?q=16.7844362988079,-96.582200542327996" TargetMode="External"/><Relationship Id="rId414" Type="http://schemas.openxmlformats.org/officeDocument/2006/relationships/hyperlink" Target="https://maps.google.com/?q=17.40247833,-96.92710769" TargetMode="External"/><Relationship Id="rId621" Type="http://schemas.openxmlformats.org/officeDocument/2006/relationships/hyperlink" Target="https://maps.google.com/?q=17.2755850709316,-98.275650374978099" TargetMode="External"/><Relationship Id="rId1044" Type="http://schemas.openxmlformats.org/officeDocument/2006/relationships/hyperlink" Target="https://maps.google.com/?q=17.380488,-96.161711999999994" TargetMode="External"/><Relationship Id="rId1251" Type="http://schemas.openxmlformats.org/officeDocument/2006/relationships/hyperlink" Target="https://maps.google.com/?q=16.78074487,-96.945425940000007" TargetMode="External"/><Relationship Id="rId2302" Type="http://schemas.openxmlformats.org/officeDocument/2006/relationships/hyperlink" Target="https://maps.google.com/?q=17.361766,-95.922253999999995" TargetMode="External"/><Relationship Id="rId1111" Type="http://schemas.openxmlformats.org/officeDocument/2006/relationships/hyperlink" Target="https://maps.google.com/?q=17.381244,-96.162374999999997" TargetMode="External"/><Relationship Id="rId3076" Type="http://schemas.openxmlformats.org/officeDocument/2006/relationships/hyperlink" Target="https://maps.google.com/?q=16.4303430468243,-95.030548028493499" TargetMode="External"/><Relationship Id="rId3283" Type="http://schemas.openxmlformats.org/officeDocument/2006/relationships/hyperlink" Target="https://maps.google.com/?q=18.22117,-96.762215" TargetMode="External"/><Relationship Id="rId1928" Type="http://schemas.openxmlformats.org/officeDocument/2006/relationships/hyperlink" Target="https://maps.google.com/?q=16.519807,-96.983885000000001" TargetMode="External"/><Relationship Id="rId2092" Type="http://schemas.openxmlformats.org/officeDocument/2006/relationships/hyperlink" Target="https://maps.google.com/?q=17.361766,-95.922253999999995" TargetMode="External"/><Relationship Id="rId3143" Type="http://schemas.openxmlformats.org/officeDocument/2006/relationships/hyperlink" Target="https://maps.google.com/?q=16.4407655867448,-95.011500418526495" TargetMode="External"/><Relationship Id="rId271" Type="http://schemas.openxmlformats.org/officeDocument/2006/relationships/hyperlink" Target="https://maps.google.com/?q=17.1242372089673,-96.971839040763896" TargetMode="External"/><Relationship Id="rId3003" Type="http://schemas.openxmlformats.org/officeDocument/2006/relationships/hyperlink" Target="https://maps.google.com/?q=16.4230109733719,-95.025847423228498" TargetMode="External"/><Relationship Id="rId131" Type="http://schemas.openxmlformats.org/officeDocument/2006/relationships/hyperlink" Target="https://maps.google.com/?q=16.7791287305361,-96.584904103896505" TargetMode="External"/><Relationship Id="rId3210" Type="http://schemas.openxmlformats.org/officeDocument/2006/relationships/hyperlink" Target="https://maps.google.com/?q=17.335316,-98.012051" TargetMode="External"/><Relationship Id="rId2769" Type="http://schemas.openxmlformats.org/officeDocument/2006/relationships/hyperlink" Target="https://maps.google.com/?q=18.0839056051241,-96.166521446015494" TargetMode="External"/><Relationship Id="rId2976" Type="http://schemas.openxmlformats.org/officeDocument/2006/relationships/hyperlink" Target="https://maps.google.com/?q=17.432689,-98.288321999999994" TargetMode="External"/><Relationship Id="rId948" Type="http://schemas.openxmlformats.org/officeDocument/2006/relationships/hyperlink" Target="https://maps.google.com/?q=16.6799833093441,-94.774658798776699" TargetMode="External"/><Relationship Id="rId1578" Type="http://schemas.openxmlformats.org/officeDocument/2006/relationships/hyperlink" Target="https://maps.google.com/?q=16.78989476,-96.89477042" TargetMode="External"/><Relationship Id="rId1785" Type="http://schemas.openxmlformats.org/officeDocument/2006/relationships/hyperlink" Target="https://maps.google.com/?q=15.7731187,-96.144461199999995" TargetMode="External"/><Relationship Id="rId1992" Type="http://schemas.openxmlformats.org/officeDocument/2006/relationships/hyperlink" Target="https://maps.google.com/?q=16.950706,-96.750504000000006" TargetMode="External"/><Relationship Id="rId2629" Type="http://schemas.openxmlformats.org/officeDocument/2006/relationships/hyperlink" Target="https://maps.google.com/?q=17.9846903793562,-96.098858164494501" TargetMode="External"/><Relationship Id="rId2836" Type="http://schemas.openxmlformats.org/officeDocument/2006/relationships/hyperlink" Target="https://maps.google.com/?q=17.0324632429763,-97.510495163194506" TargetMode="External"/><Relationship Id="rId77" Type="http://schemas.openxmlformats.org/officeDocument/2006/relationships/hyperlink" Target="https://maps.google.com/?q=17.0180057,-96.864597989288697" TargetMode="External"/><Relationship Id="rId808" Type="http://schemas.openxmlformats.org/officeDocument/2006/relationships/hyperlink" Target="https://maps.google.com/?q=16.9000631177433,-95.034961728836095" TargetMode="External"/><Relationship Id="rId1438" Type="http://schemas.openxmlformats.org/officeDocument/2006/relationships/hyperlink" Target="https://maps.google.com/?q=16.78876299,-96.917388579999994" TargetMode="External"/><Relationship Id="rId1645" Type="http://schemas.openxmlformats.org/officeDocument/2006/relationships/hyperlink" Target="https://maps.google.com/?q=17.323860928558,-97.894413167235101" TargetMode="External"/><Relationship Id="rId1852" Type="http://schemas.openxmlformats.org/officeDocument/2006/relationships/hyperlink" Target="https://maps.google.com/?q=17.823181,-97.732574" TargetMode="External"/><Relationship Id="rId2903" Type="http://schemas.openxmlformats.org/officeDocument/2006/relationships/hyperlink" Target="https://maps.google.com/?q=17.321949,-98.238225" TargetMode="External"/><Relationship Id="rId1505" Type="http://schemas.openxmlformats.org/officeDocument/2006/relationships/hyperlink" Target="https://maps.google.com/?q=16.78925136,-96.90361" TargetMode="External"/><Relationship Id="rId1712" Type="http://schemas.openxmlformats.org/officeDocument/2006/relationships/hyperlink" Target="https://maps.google.com/?q=16.787361,-96.793087" TargetMode="External"/><Relationship Id="rId598" Type="http://schemas.openxmlformats.org/officeDocument/2006/relationships/hyperlink" Target="https://maps.google.com/?q=17.2715585639769,-98.265559341104506" TargetMode="External"/><Relationship Id="rId2279" Type="http://schemas.openxmlformats.org/officeDocument/2006/relationships/hyperlink" Target="https://maps.google.com/?q=18.081169,-96.118475000000004" TargetMode="External"/><Relationship Id="rId2486" Type="http://schemas.openxmlformats.org/officeDocument/2006/relationships/hyperlink" Target="https://maps.google.com/?q=16.385103002219964,-96.83961920629865" TargetMode="External"/><Relationship Id="rId2693" Type="http://schemas.openxmlformats.org/officeDocument/2006/relationships/hyperlink" Target="https://maps.google.com/?q=18.0545473810516,-96.148412762471196" TargetMode="External"/><Relationship Id="rId458" Type="http://schemas.openxmlformats.org/officeDocument/2006/relationships/hyperlink" Target="https://maps.google.com/?q=17.413507,-96.930614000000006" TargetMode="External"/><Relationship Id="rId665" Type="http://schemas.openxmlformats.org/officeDocument/2006/relationships/hyperlink" Target="https://maps.google.com/?q=17.2561005576242,-98.260588733625596" TargetMode="External"/><Relationship Id="rId872" Type="http://schemas.openxmlformats.org/officeDocument/2006/relationships/hyperlink" Target="https://maps.google.com/?q=16.714713,-94.747855999999999" TargetMode="External"/><Relationship Id="rId1088" Type="http://schemas.openxmlformats.org/officeDocument/2006/relationships/hyperlink" Target="https://maps.google.com/?q=17.381015,-96.162368999999998" TargetMode="External"/><Relationship Id="rId1295" Type="http://schemas.openxmlformats.org/officeDocument/2006/relationships/hyperlink" Target="https://maps.google.com/?q=16.78574808,-96.930201850000003" TargetMode="External"/><Relationship Id="rId2139" Type="http://schemas.openxmlformats.org/officeDocument/2006/relationships/hyperlink" Target="https://maps.google.com/?q=16.564244,-96.731829000000005" TargetMode="External"/><Relationship Id="rId2346" Type="http://schemas.openxmlformats.org/officeDocument/2006/relationships/hyperlink" Target="https://maps.google.com/?q=16.332014,-95.231966" TargetMode="External"/><Relationship Id="rId2553" Type="http://schemas.openxmlformats.org/officeDocument/2006/relationships/hyperlink" Target="https://maps.google.com/?q=16.387025124753556,-96.839316886256938" TargetMode="External"/><Relationship Id="rId2760" Type="http://schemas.openxmlformats.org/officeDocument/2006/relationships/hyperlink" Target="https://maps.google.com/?q=18.0832326160626,-96.170284239251998" TargetMode="External"/><Relationship Id="rId318" Type="http://schemas.openxmlformats.org/officeDocument/2006/relationships/hyperlink" Target="https://maps.google.com/?q=16.5135297901709,-97.781647693865906" TargetMode="External"/><Relationship Id="rId525" Type="http://schemas.openxmlformats.org/officeDocument/2006/relationships/hyperlink" Target="https://maps.google.com/?q=17.1540849241917,-97.717527084655799" TargetMode="External"/><Relationship Id="rId732" Type="http://schemas.openxmlformats.org/officeDocument/2006/relationships/hyperlink" Target="https://maps.google.com/?q=16.8611483697625,-95.053850431743598" TargetMode="External"/><Relationship Id="rId1155" Type="http://schemas.openxmlformats.org/officeDocument/2006/relationships/hyperlink" Target="https://maps.google.com/?q=17.382009,-96.164105000000006" TargetMode="External"/><Relationship Id="rId1362" Type="http://schemas.openxmlformats.org/officeDocument/2006/relationships/hyperlink" Target="https://maps.google.com/?q=16.78779476,-96.895802590000002" TargetMode="External"/><Relationship Id="rId2206" Type="http://schemas.openxmlformats.org/officeDocument/2006/relationships/hyperlink" Target="https://maps.google.com/?q=17.063778,-96.729971000000006" TargetMode="External"/><Relationship Id="rId2413" Type="http://schemas.openxmlformats.org/officeDocument/2006/relationships/hyperlink" Target="https://maps.google.com/?q=16.383493822801913,-96.842548315372454" TargetMode="External"/><Relationship Id="rId2620" Type="http://schemas.openxmlformats.org/officeDocument/2006/relationships/hyperlink" Target="https://maps.google.com/?q=18.1025263656167,-96.104420543613799" TargetMode="External"/><Relationship Id="rId1015" Type="http://schemas.openxmlformats.org/officeDocument/2006/relationships/hyperlink" Target="https://maps.google.com/?q=17.38022,-96.162485000000004" TargetMode="External"/><Relationship Id="rId1222" Type="http://schemas.openxmlformats.org/officeDocument/2006/relationships/hyperlink" Target="https://maps.google.com/?q=17.101394724,-96.772314701" TargetMode="External"/><Relationship Id="rId3187" Type="http://schemas.openxmlformats.org/officeDocument/2006/relationships/hyperlink" Target="https://maps.google.com/?q=17.126365659433922,-96.76797713328787" TargetMode="External"/><Relationship Id="rId3047" Type="http://schemas.openxmlformats.org/officeDocument/2006/relationships/hyperlink" Target="https://maps.google.com/?q=16.4272618642318,-95.020619992248896" TargetMode="External"/><Relationship Id="rId175" Type="http://schemas.openxmlformats.org/officeDocument/2006/relationships/hyperlink" Target="https://maps.google.com/?q=16.782514042036,-96.578645504299203" TargetMode="External"/><Relationship Id="rId3254" Type="http://schemas.openxmlformats.org/officeDocument/2006/relationships/hyperlink" Target="https://maps.google.com/?q=17.189392,-96.855840" TargetMode="External"/><Relationship Id="rId382" Type="http://schemas.openxmlformats.org/officeDocument/2006/relationships/hyperlink" Target="https://maps.google.com/?q=16.48920414638,-97.579597457672094" TargetMode="External"/><Relationship Id="rId2063" Type="http://schemas.openxmlformats.org/officeDocument/2006/relationships/hyperlink" Target="https://maps.google.com/?q=17.458341,-97.225285" TargetMode="External"/><Relationship Id="rId2270" Type="http://schemas.openxmlformats.org/officeDocument/2006/relationships/hyperlink" Target="https://maps.google.com/?q=17.335316,-98.012051" TargetMode="External"/><Relationship Id="rId3114" Type="http://schemas.openxmlformats.org/officeDocument/2006/relationships/hyperlink" Target="https://maps.google.com/?q=16.4383617471362,-95.019510128500997" TargetMode="External"/><Relationship Id="rId242" Type="http://schemas.openxmlformats.org/officeDocument/2006/relationships/hyperlink" Target="https://maps.google.com/?q=16.9806857432508,-97.022387010000003" TargetMode="External"/><Relationship Id="rId2130" Type="http://schemas.openxmlformats.org/officeDocument/2006/relationships/hyperlink" Target="https://maps.google.com/?q=18.13222,-97.070751000000001" TargetMode="External"/><Relationship Id="rId102" Type="http://schemas.openxmlformats.org/officeDocument/2006/relationships/hyperlink" Target="https://maps.google.com/?q=17.01525479304,-96.888448094581705" TargetMode="External"/><Relationship Id="rId1689" Type="http://schemas.openxmlformats.org/officeDocument/2006/relationships/hyperlink" Target="https://maps.google.com/?q=17.2761,-97.873639999999995" TargetMode="External"/><Relationship Id="rId1896" Type="http://schemas.openxmlformats.org/officeDocument/2006/relationships/hyperlink" Target="https://maps.google.com/?q=16.433347,-95.021687" TargetMode="External"/><Relationship Id="rId2947" Type="http://schemas.openxmlformats.org/officeDocument/2006/relationships/hyperlink" Target="https://maps.google.com/?q=17.428581,-98.289968999999999" TargetMode="External"/><Relationship Id="rId919" Type="http://schemas.openxmlformats.org/officeDocument/2006/relationships/hyperlink" Target="https://maps.google.com/?q=16.673502,-94.77722" TargetMode="External"/><Relationship Id="rId1549" Type="http://schemas.openxmlformats.org/officeDocument/2006/relationships/hyperlink" Target="https://maps.google.com/?q=16.78967046,-96.895429199999995" TargetMode="External"/><Relationship Id="rId1756" Type="http://schemas.openxmlformats.org/officeDocument/2006/relationships/hyperlink" Target="https://maps.google.com/?q=17.308299,-96.898660000000007" TargetMode="External"/><Relationship Id="rId1963" Type="http://schemas.openxmlformats.org/officeDocument/2006/relationships/hyperlink" Target="https://maps.google.com/?q=16.95558,-96.479206000000005" TargetMode="External"/><Relationship Id="rId2807" Type="http://schemas.openxmlformats.org/officeDocument/2006/relationships/hyperlink" Target="https://maps.google.com/?q=18.0992201018386,-96.159635658895496" TargetMode="External"/><Relationship Id="rId48" Type="http://schemas.openxmlformats.org/officeDocument/2006/relationships/hyperlink" Target="https://maps.google.com/?q=16.9787451938679,-96.889936764383194" TargetMode="External"/><Relationship Id="rId1409" Type="http://schemas.openxmlformats.org/officeDocument/2006/relationships/hyperlink" Target="https://maps.google.com/?q=16.78849631,-96.905087859999995" TargetMode="External"/><Relationship Id="rId1616" Type="http://schemas.openxmlformats.org/officeDocument/2006/relationships/hyperlink" Target="https://maps.google.com/?q=17.3037155558825,-97.934805882911903" TargetMode="External"/><Relationship Id="rId1823" Type="http://schemas.openxmlformats.org/officeDocument/2006/relationships/hyperlink" Target="https://maps.google.com/?q=15.7739766,-96.143400700000001" TargetMode="External"/><Relationship Id="rId2597" Type="http://schemas.openxmlformats.org/officeDocument/2006/relationships/hyperlink" Target="https://maps.google.com/?q=16.39514445846206,-96.844490199004071" TargetMode="External"/><Relationship Id="rId569" Type="http://schemas.openxmlformats.org/officeDocument/2006/relationships/hyperlink" Target="https://maps.google.com/?q=17.1765273222728,-98.195323963125603" TargetMode="External"/><Relationship Id="rId776" Type="http://schemas.openxmlformats.org/officeDocument/2006/relationships/hyperlink" Target="https://maps.google.com/?q=16.8233173587597,-95.120408976364502" TargetMode="External"/><Relationship Id="rId983" Type="http://schemas.openxmlformats.org/officeDocument/2006/relationships/hyperlink" Target="https://maps.google.com/?q=17.379755,-96.160307000000003" TargetMode="External"/><Relationship Id="rId1199" Type="http://schemas.openxmlformats.org/officeDocument/2006/relationships/hyperlink" Target="https://maps.google.com/?q=17.103646,%20-96.774950" TargetMode="External"/><Relationship Id="rId2457" Type="http://schemas.openxmlformats.org/officeDocument/2006/relationships/hyperlink" Target="https://maps.google.com/?q=16.384465800041333,-96.840147209369121" TargetMode="External"/><Relationship Id="rId2664" Type="http://schemas.openxmlformats.org/officeDocument/2006/relationships/hyperlink" Target="https://maps.google.com/?q=18.0294865255662,-96.156352061342602" TargetMode="External"/><Relationship Id="rId429" Type="http://schemas.openxmlformats.org/officeDocument/2006/relationships/hyperlink" Target="https://maps.google.com/?q=17.4086504,-97.012562529999997" TargetMode="External"/><Relationship Id="rId636" Type="http://schemas.openxmlformats.org/officeDocument/2006/relationships/hyperlink" Target="https://maps.google.com/?q=17.2807071249878,-98.281475999999998" TargetMode="External"/><Relationship Id="rId1059" Type="http://schemas.openxmlformats.org/officeDocument/2006/relationships/hyperlink" Target="https://maps.google.com/?q=17.38067,-96.161015000000006" TargetMode="External"/><Relationship Id="rId1266" Type="http://schemas.openxmlformats.org/officeDocument/2006/relationships/hyperlink" Target="https://maps.google.com/?q=16.78185847,-96.944208419999995" TargetMode="External"/><Relationship Id="rId1473" Type="http://schemas.openxmlformats.org/officeDocument/2006/relationships/hyperlink" Target="https://maps.google.com/?q=16.78906049,-96.896760040000004" TargetMode="External"/><Relationship Id="rId2317" Type="http://schemas.openxmlformats.org/officeDocument/2006/relationships/hyperlink" Target="https://maps.google.com/?q=16.500512,-96.106790000000004" TargetMode="External"/><Relationship Id="rId2871" Type="http://schemas.openxmlformats.org/officeDocument/2006/relationships/hyperlink" Target="https://maps.google.com/?q=17.0633295413128,-97.477859743551207" TargetMode="External"/><Relationship Id="rId843" Type="http://schemas.openxmlformats.org/officeDocument/2006/relationships/hyperlink" Target="https://maps.google.com/?q=16.713313,-94.746674999999996" TargetMode="External"/><Relationship Id="rId1126" Type="http://schemas.openxmlformats.org/officeDocument/2006/relationships/hyperlink" Target="https://maps.google.com/?q=17.381511,-96.160025000000005" TargetMode="External"/><Relationship Id="rId1680" Type="http://schemas.openxmlformats.org/officeDocument/2006/relationships/hyperlink" Target="https://maps.google.com/?q=17.3839677380327,-97.911460810959696" TargetMode="External"/><Relationship Id="rId2524" Type="http://schemas.openxmlformats.org/officeDocument/2006/relationships/hyperlink" Target="https://maps.google.com/?q=16.385928320314765,-96.844593208775635" TargetMode="External"/><Relationship Id="rId2731" Type="http://schemas.openxmlformats.org/officeDocument/2006/relationships/hyperlink" Target="https://maps.google.com/?q=18.0741106758914,-96.1739006538334" TargetMode="External"/><Relationship Id="rId703" Type="http://schemas.openxmlformats.org/officeDocument/2006/relationships/hyperlink" Target="https://maps.google.com/?q=17.2593725641442,-98.263626341104498" TargetMode="External"/><Relationship Id="rId910" Type="http://schemas.openxmlformats.org/officeDocument/2006/relationships/hyperlink" Target="https://maps.google.com/?q=16.716835,-94.744675000000001" TargetMode="External"/><Relationship Id="rId1333" Type="http://schemas.openxmlformats.org/officeDocument/2006/relationships/hyperlink" Target="https://maps.google.com/?q=16.78719755,-96.900404600000002" TargetMode="External"/><Relationship Id="rId1540" Type="http://schemas.openxmlformats.org/officeDocument/2006/relationships/hyperlink" Target="https://maps.google.com/?q=16.78959504,-96.897464360000001" TargetMode="External"/><Relationship Id="rId1400" Type="http://schemas.openxmlformats.org/officeDocument/2006/relationships/hyperlink" Target="https://maps.google.com/?q=16.78835042,-96.895766080000001" TargetMode="External"/><Relationship Id="rId3158" Type="http://schemas.openxmlformats.org/officeDocument/2006/relationships/hyperlink" Target="https://maps.google.com/?q=16.4449945,-95.022053769999999" TargetMode="External"/><Relationship Id="rId286" Type="http://schemas.openxmlformats.org/officeDocument/2006/relationships/hyperlink" Target="https://maps.google.com/?q=16.61326770919,-97.784130457672006" TargetMode="External"/><Relationship Id="rId493" Type="http://schemas.openxmlformats.org/officeDocument/2006/relationships/hyperlink" Target="https://maps.google.com/?q=17.29295026,-96.905557060000007" TargetMode="External"/><Relationship Id="rId2174" Type="http://schemas.openxmlformats.org/officeDocument/2006/relationships/hyperlink" Target="https://maps.google.com/?q=17.026216,-97.928115000000005" TargetMode="External"/><Relationship Id="rId2381" Type="http://schemas.openxmlformats.org/officeDocument/2006/relationships/hyperlink" Target="https://maps.google.com/?q=16.380774031846798,-96.847683431593836" TargetMode="External"/><Relationship Id="rId3018" Type="http://schemas.openxmlformats.org/officeDocument/2006/relationships/hyperlink" Target="https://maps.google.com/?q=16.4252790258819,-95.029305557467694" TargetMode="External"/><Relationship Id="rId3225" Type="http://schemas.openxmlformats.org/officeDocument/2006/relationships/hyperlink" Target="https://maps.google.com/?q=16.332014,-95.231966" TargetMode="External"/><Relationship Id="rId146" Type="http://schemas.openxmlformats.org/officeDocument/2006/relationships/hyperlink" Target="https://maps.google.com/?q=16.7806707715514,-96.582805634853599" TargetMode="External"/><Relationship Id="rId353" Type="http://schemas.openxmlformats.org/officeDocument/2006/relationships/hyperlink" Target="https://maps.google.com/?q=16.499343,-97.782893000000001" TargetMode="External"/><Relationship Id="rId560" Type="http://schemas.openxmlformats.org/officeDocument/2006/relationships/hyperlink" Target="https://maps.google.com/?q=17.1750368465996,-98.195428341104503" TargetMode="External"/><Relationship Id="rId1190" Type="http://schemas.openxmlformats.org/officeDocument/2006/relationships/hyperlink" Target="https://maps.google.com/?q=17.102072,%20-96.773058" TargetMode="External"/><Relationship Id="rId2034" Type="http://schemas.openxmlformats.org/officeDocument/2006/relationships/hyperlink" Target="https://maps.google.com/?q=17.501442,-98.142583999999999" TargetMode="External"/><Relationship Id="rId2241" Type="http://schemas.openxmlformats.org/officeDocument/2006/relationships/hyperlink" Target="https://maps.google.com/?q=17.33873,-96.152553999999995" TargetMode="External"/><Relationship Id="rId213" Type="http://schemas.openxmlformats.org/officeDocument/2006/relationships/hyperlink" Target="https://maps.google.com/?q=16.7849930143106,-96.582208983857896" TargetMode="External"/><Relationship Id="rId420" Type="http://schemas.openxmlformats.org/officeDocument/2006/relationships/hyperlink" Target="https://maps.google.com/?q=17.403163,-96.928274000000002" TargetMode="External"/><Relationship Id="rId1050" Type="http://schemas.openxmlformats.org/officeDocument/2006/relationships/hyperlink" Target="https://maps.google.com/?q=17.380569,-96.161732999999998" TargetMode="External"/><Relationship Id="rId2101" Type="http://schemas.openxmlformats.org/officeDocument/2006/relationships/hyperlink" Target="https://maps.google.com/?q=15.746144,-96.465182999999996" TargetMode="External"/><Relationship Id="rId1867" Type="http://schemas.openxmlformats.org/officeDocument/2006/relationships/hyperlink" Target="https://maps.google.com/?q=16.500512,-96.106790000000004" TargetMode="External"/><Relationship Id="rId2918" Type="http://schemas.openxmlformats.org/officeDocument/2006/relationships/hyperlink" Target="https://maps.google.com/?q=17.334279,-98.168175000000005" TargetMode="External"/><Relationship Id="rId1727" Type="http://schemas.openxmlformats.org/officeDocument/2006/relationships/hyperlink" Target="https://maps.google.com/?q=16.788561,-96.790728999999999" TargetMode="External"/><Relationship Id="rId1934" Type="http://schemas.openxmlformats.org/officeDocument/2006/relationships/hyperlink" Target="https://maps.google.com/?q=17.026216,-97.928115000000005" TargetMode="External"/><Relationship Id="rId3082" Type="http://schemas.openxmlformats.org/officeDocument/2006/relationships/hyperlink" Target="https://maps.google.com/?q=16.4312920355852,-95.014136102086397" TargetMode="External"/><Relationship Id="rId19" Type="http://schemas.openxmlformats.org/officeDocument/2006/relationships/hyperlink" Target="https://maps.google.com/?q=15.98084458,-95.676543150000001" TargetMode="External"/><Relationship Id="rId3" Type="http://schemas.openxmlformats.org/officeDocument/2006/relationships/hyperlink" Target="https://maps.google.com/?q=17.055066847764078,-96.65385408457124" TargetMode="External"/><Relationship Id="rId887" Type="http://schemas.openxmlformats.org/officeDocument/2006/relationships/hyperlink" Target="https://maps.google.com/?q=16.715387,-94.748238000000001" TargetMode="External"/><Relationship Id="rId2568" Type="http://schemas.openxmlformats.org/officeDocument/2006/relationships/hyperlink" Target="https://maps.google.com/?q=16.387483908118945,-96.838897057684633" TargetMode="External"/><Relationship Id="rId2775" Type="http://schemas.openxmlformats.org/officeDocument/2006/relationships/hyperlink" Target="https://maps.google.com/?q=18.0848543320809,-96.169269145195997" TargetMode="External"/><Relationship Id="rId2982" Type="http://schemas.openxmlformats.org/officeDocument/2006/relationships/hyperlink" Target="https://maps.google.com/?q=17.434133,-98.293756000000002" TargetMode="External"/><Relationship Id="rId747" Type="http://schemas.openxmlformats.org/officeDocument/2006/relationships/hyperlink" Target="https://maps.google.com/?q=16.8155197088768,-95.11608871" TargetMode="External"/><Relationship Id="rId954" Type="http://schemas.openxmlformats.org/officeDocument/2006/relationships/hyperlink" Target="https://maps.google.com/?q=16.64862,-94.787181" TargetMode="External"/><Relationship Id="rId1377" Type="http://schemas.openxmlformats.org/officeDocument/2006/relationships/hyperlink" Target="https://maps.google.com/?q=16.78799376,-96.898154759999997" TargetMode="External"/><Relationship Id="rId1584" Type="http://schemas.openxmlformats.org/officeDocument/2006/relationships/hyperlink" Target="https://maps.google.com/?q=16.78999107,-96.898896460000003" TargetMode="External"/><Relationship Id="rId1791" Type="http://schemas.openxmlformats.org/officeDocument/2006/relationships/hyperlink" Target="https://maps.google.com/?q=15.7731768,-96.136692100000005" TargetMode="External"/><Relationship Id="rId2428" Type="http://schemas.openxmlformats.org/officeDocument/2006/relationships/hyperlink" Target="https://maps.google.com/?q=16.383977166642083,-96.839506515099117" TargetMode="External"/><Relationship Id="rId2635" Type="http://schemas.openxmlformats.org/officeDocument/2006/relationships/hyperlink" Target="https://maps.google.com/?q=17.9860753096361,-96.099834294477503" TargetMode="External"/><Relationship Id="rId2842" Type="http://schemas.openxmlformats.org/officeDocument/2006/relationships/hyperlink" Target="https://maps.google.com/?q=17.0352098736593,-97.505207782209098" TargetMode="External"/><Relationship Id="rId83" Type="http://schemas.openxmlformats.org/officeDocument/2006/relationships/hyperlink" Target="https://maps.google.com/?q=17.0075850443284,-96.890296017196704" TargetMode="External"/><Relationship Id="rId607" Type="http://schemas.openxmlformats.org/officeDocument/2006/relationships/hyperlink" Target="https://maps.google.com/?q=17.273232563954,-98.274674317790996" TargetMode="External"/><Relationship Id="rId814" Type="http://schemas.openxmlformats.org/officeDocument/2006/relationships/hyperlink" Target="https://maps.google.com/?q=16.883351,-95.051517000000004" TargetMode="External"/><Relationship Id="rId1237" Type="http://schemas.openxmlformats.org/officeDocument/2006/relationships/hyperlink" Target="https://maps.google.com/?q=17.104536352,-96.778537634" TargetMode="External"/><Relationship Id="rId1444" Type="http://schemas.openxmlformats.org/officeDocument/2006/relationships/hyperlink" Target="https://maps.google.com/?q=16.78879107,-96.897933109999997" TargetMode="External"/><Relationship Id="rId1651" Type="http://schemas.openxmlformats.org/officeDocument/2006/relationships/hyperlink" Target="https://maps.google.com/?q=17.326246,-97.879033000000007" TargetMode="External"/><Relationship Id="rId2702" Type="http://schemas.openxmlformats.org/officeDocument/2006/relationships/hyperlink" Target="https://maps.google.com/?q=18.060147239875,-96.145923166253098" TargetMode="External"/><Relationship Id="rId1304" Type="http://schemas.openxmlformats.org/officeDocument/2006/relationships/hyperlink" Target="https://maps.google.com/?q=16.78648284803826,-96.90753957826486" TargetMode="External"/><Relationship Id="rId1511" Type="http://schemas.openxmlformats.org/officeDocument/2006/relationships/hyperlink" Target="https://maps.google.com/?q=16.78927138,-96.908399680000002" TargetMode="External"/><Relationship Id="rId3269" Type="http://schemas.openxmlformats.org/officeDocument/2006/relationships/hyperlink" Target="https://maps.google.com/?q=18.059722,-96.991923" TargetMode="External"/><Relationship Id="rId10" Type="http://schemas.openxmlformats.org/officeDocument/2006/relationships/hyperlink" Target="https://maps.google.com/?q=15.665353,-96.543197" TargetMode="External"/><Relationship Id="rId397" Type="http://schemas.openxmlformats.org/officeDocument/2006/relationships/hyperlink" Target="https://maps.google.com/?q=16.493567,-97.584761999999998" TargetMode="External"/><Relationship Id="rId2078" Type="http://schemas.openxmlformats.org/officeDocument/2006/relationships/hyperlink" Target="https://maps.google.com/?q=16.519807,-96.983885000000001" TargetMode="External"/><Relationship Id="rId2285" Type="http://schemas.openxmlformats.org/officeDocument/2006/relationships/hyperlink" Target="https://maps.google.com/?q=16.332014,-95.231966" TargetMode="External"/><Relationship Id="rId2492" Type="http://schemas.openxmlformats.org/officeDocument/2006/relationships/hyperlink" Target="https://maps.google.com/?q=16.385225066549346,-96.840623528244379" TargetMode="External"/><Relationship Id="rId3129" Type="http://schemas.openxmlformats.org/officeDocument/2006/relationships/hyperlink" Target="https://maps.google.com/?q=16.439531469081,-95.027854676890698" TargetMode="External"/><Relationship Id="rId257" Type="http://schemas.openxmlformats.org/officeDocument/2006/relationships/hyperlink" Target="https://maps.google.com/?q=16.9704340539815,-97.032152096745904" TargetMode="External"/><Relationship Id="rId464" Type="http://schemas.openxmlformats.org/officeDocument/2006/relationships/hyperlink" Target="https://maps.google.com/?q=17.421059,-96.930807000000001" TargetMode="External"/><Relationship Id="rId1094" Type="http://schemas.openxmlformats.org/officeDocument/2006/relationships/hyperlink" Target="https://maps.google.com/?q=17.381054,-96.162830999999997" TargetMode="External"/><Relationship Id="rId2145" Type="http://schemas.openxmlformats.org/officeDocument/2006/relationships/hyperlink" Target="https://maps.google.com/?q=17.027131,-96.077044000000001" TargetMode="External"/><Relationship Id="rId117" Type="http://schemas.openxmlformats.org/officeDocument/2006/relationships/hyperlink" Target="https://maps.google.com/?q=16.95312224,-96.895156459999995" TargetMode="External"/><Relationship Id="rId671" Type="http://schemas.openxmlformats.org/officeDocument/2006/relationships/hyperlink" Target="https://maps.google.com/?q=17.2564202834477,-98.260509658895501" TargetMode="External"/><Relationship Id="rId2352" Type="http://schemas.openxmlformats.org/officeDocument/2006/relationships/hyperlink" Target="https://maps.google.com/?q=16.866371,-96.785623000000001" TargetMode="External"/><Relationship Id="rId324" Type="http://schemas.openxmlformats.org/officeDocument/2006/relationships/hyperlink" Target="https://maps.google.com/?q=16.5146912156633,-97.781542691539002" TargetMode="External"/><Relationship Id="rId531" Type="http://schemas.openxmlformats.org/officeDocument/2006/relationships/hyperlink" Target="https://maps.google.com/?q=17.1746046270525,-97.714031224536896" TargetMode="External"/><Relationship Id="rId1161" Type="http://schemas.openxmlformats.org/officeDocument/2006/relationships/hyperlink" Target="https://maps.google.com/?q=17.382182,-96.160802000000004" TargetMode="External"/><Relationship Id="rId2005" Type="http://schemas.openxmlformats.org/officeDocument/2006/relationships/hyperlink" Target="https://maps.google.com/?q=17.511838,-97.488547999999994" TargetMode="External"/><Relationship Id="rId2212" Type="http://schemas.openxmlformats.org/officeDocument/2006/relationships/hyperlink" Target="https://maps.google.com/?q=17.361766,-95.922253999999995" TargetMode="External"/><Relationship Id="rId1021" Type="http://schemas.openxmlformats.org/officeDocument/2006/relationships/hyperlink" Target="https://maps.google.com/?q=17.380288,-96.159778000000003" TargetMode="External"/><Relationship Id="rId1978" Type="http://schemas.openxmlformats.org/officeDocument/2006/relationships/hyperlink" Target="https://maps.google.com/?q=17.806621,-97.776161999999999" TargetMode="External"/><Relationship Id="rId3193" Type="http://schemas.openxmlformats.org/officeDocument/2006/relationships/hyperlink" Target="https://maps.google.com/?q=16.279058,-97.820240999999996" TargetMode="External"/><Relationship Id="rId1838" Type="http://schemas.openxmlformats.org/officeDocument/2006/relationships/hyperlink" Target="https://maps.google.com/?q=17.0146675,%20-96.7496224" TargetMode="External"/><Relationship Id="rId3053" Type="http://schemas.openxmlformats.org/officeDocument/2006/relationships/hyperlink" Target="https://maps.google.com/?q=16.4280133695883,-95.013901656452205" TargetMode="External"/><Relationship Id="rId3260" Type="http://schemas.openxmlformats.org/officeDocument/2006/relationships/hyperlink" Target="https://maps.google.com/?q=15.820237,-96.281191" TargetMode="External"/><Relationship Id="rId181" Type="http://schemas.openxmlformats.org/officeDocument/2006/relationships/hyperlink" Target="https://maps.google.com/?q=16.7828460536628,-96.579091898147695" TargetMode="External"/><Relationship Id="rId1905" Type="http://schemas.openxmlformats.org/officeDocument/2006/relationships/hyperlink" Target="https://maps.google.com/?q=17.027131,-96.077044000000001" TargetMode="External"/><Relationship Id="rId3120" Type="http://schemas.openxmlformats.org/officeDocument/2006/relationships/hyperlink" Target="https://maps.google.com/?q=16.4387769548917,-95.027389879348107" TargetMode="External"/><Relationship Id="rId998" Type="http://schemas.openxmlformats.org/officeDocument/2006/relationships/hyperlink" Target="https://maps.google.com/?q=17.379999,-96.163176000000007" TargetMode="External"/><Relationship Id="rId2679" Type="http://schemas.openxmlformats.org/officeDocument/2006/relationships/hyperlink" Target="https://maps.google.com/?q=18.0523810834927,-96.141727573820702" TargetMode="External"/><Relationship Id="rId2886" Type="http://schemas.openxmlformats.org/officeDocument/2006/relationships/hyperlink" Target="https://maps.google.com/?q=17.319754,-98.24079" TargetMode="External"/><Relationship Id="rId858" Type="http://schemas.openxmlformats.org/officeDocument/2006/relationships/hyperlink" Target="https://maps.google.com/?q=16.7141045,-94.750296019999993" TargetMode="External"/><Relationship Id="rId1488" Type="http://schemas.openxmlformats.org/officeDocument/2006/relationships/hyperlink" Target="https://maps.google.com/?q=16.78914754,-96.905026000000007" TargetMode="External"/><Relationship Id="rId1695" Type="http://schemas.openxmlformats.org/officeDocument/2006/relationships/hyperlink" Target="https://maps.google.com/?q=17.281471,-97.871617999999998" TargetMode="External"/><Relationship Id="rId2539" Type="http://schemas.openxmlformats.org/officeDocument/2006/relationships/hyperlink" Target="https://maps.google.com/?q=16.386404723785745,-96.840612373193011" TargetMode="External"/><Relationship Id="rId2746" Type="http://schemas.openxmlformats.org/officeDocument/2006/relationships/hyperlink" Target="https://maps.google.com/?q=18.0784385914023,-96.168919570336499" TargetMode="External"/><Relationship Id="rId2953" Type="http://schemas.openxmlformats.org/officeDocument/2006/relationships/hyperlink" Target="https://maps.google.com/?q=17.4293019,-98.295970499999996" TargetMode="External"/><Relationship Id="rId718" Type="http://schemas.openxmlformats.org/officeDocument/2006/relationships/hyperlink" Target="https://maps.google.com/?q=17.2604358448388,-98.262570999999994" TargetMode="External"/><Relationship Id="rId925" Type="http://schemas.openxmlformats.org/officeDocument/2006/relationships/hyperlink" Target="https://maps.google.com/?q=16.6742587137619,-94.775233320849395" TargetMode="External"/><Relationship Id="rId1348" Type="http://schemas.openxmlformats.org/officeDocument/2006/relationships/hyperlink" Target="https://maps.google.com/?q=16.78746778,-96.900244090000001" TargetMode="External"/><Relationship Id="rId1555" Type="http://schemas.openxmlformats.org/officeDocument/2006/relationships/hyperlink" Target="https://maps.google.com/?q=16.789715359169502,-96.900649898096319" TargetMode="External"/><Relationship Id="rId1762" Type="http://schemas.openxmlformats.org/officeDocument/2006/relationships/hyperlink" Target="https://maps.google.com/?q=17.310317,-96.911963999999998" TargetMode="External"/><Relationship Id="rId2606" Type="http://schemas.openxmlformats.org/officeDocument/2006/relationships/hyperlink" Target="https://maps.google.com/?q=16.398434225965833,-96.841042162581402" TargetMode="External"/><Relationship Id="rId1208" Type="http://schemas.openxmlformats.org/officeDocument/2006/relationships/hyperlink" Target="https://maps.google.com/?q=17.104251,%20-96.777558" TargetMode="External"/><Relationship Id="rId1415" Type="http://schemas.openxmlformats.org/officeDocument/2006/relationships/hyperlink" Target="https://maps.google.com/?q=16.78856335,-96.900044980000004" TargetMode="External"/><Relationship Id="rId2813" Type="http://schemas.openxmlformats.org/officeDocument/2006/relationships/hyperlink" Target="https://maps.google.com/?q=17.0125562160214,-97.500288865998201" TargetMode="External"/><Relationship Id="rId54" Type="http://schemas.openxmlformats.org/officeDocument/2006/relationships/hyperlink" Target="https://maps.google.com/?q=16.97923514,-96.886684970000005" TargetMode="External"/><Relationship Id="rId1622" Type="http://schemas.openxmlformats.org/officeDocument/2006/relationships/hyperlink" Target="https://maps.google.com/?q=17.252249,-97.807546" TargetMode="External"/><Relationship Id="rId2189" Type="http://schemas.openxmlformats.org/officeDocument/2006/relationships/hyperlink" Target="https://maps.google.com/?q=18.081169,-96.118475000000004" TargetMode="External"/><Relationship Id="rId2396" Type="http://schemas.openxmlformats.org/officeDocument/2006/relationships/hyperlink" Target="https://maps.google.com/?q=16.382830737964497,-96.83671383447512" TargetMode="External"/><Relationship Id="rId368" Type="http://schemas.openxmlformats.org/officeDocument/2006/relationships/hyperlink" Target="https://maps.google.com/?q=16.500459,-97.781424000000001" TargetMode="External"/><Relationship Id="rId575" Type="http://schemas.openxmlformats.org/officeDocument/2006/relationships/hyperlink" Target="https://maps.google.com/?q=17.1774546583019,-98.195232186508207" TargetMode="External"/><Relationship Id="rId782" Type="http://schemas.openxmlformats.org/officeDocument/2006/relationships/hyperlink" Target="https://maps.google.com/?q=16.8255232937171,-95.115434320000006" TargetMode="External"/><Relationship Id="rId2049" Type="http://schemas.openxmlformats.org/officeDocument/2006/relationships/hyperlink" Target="https://maps.google.com/?q=16.564244,-96.731829000000005" TargetMode="External"/><Relationship Id="rId2256" Type="http://schemas.openxmlformats.org/officeDocument/2006/relationships/hyperlink" Target="https://maps.google.com/?q=16.433347,-95.021687" TargetMode="External"/><Relationship Id="rId2463" Type="http://schemas.openxmlformats.org/officeDocument/2006/relationships/hyperlink" Target="https://maps.google.com/?q=16.38455332721679,-96.836928906771945" TargetMode="External"/><Relationship Id="rId2670" Type="http://schemas.openxmlformats.org/officeDocument/2006/relationships/hyperlink" Target="https://maps.google.com/?q=18.051772,-96.137619000000001" TargetMode="External"/><Relationship Id="rId228" Type="http://schemas.openxmlformats.org/officeDocument/2006/relationships/hyperlink" Target="https://maps.google.com/?q=16.9791951498456,-97.054535683740596" TargetMode="External"/><Relationship Id="rId435" Type="http://schemas.openxmlformats.org/officeDocument/2006/relationships/hyperlink" Target="https://maps.google.com/?q=17.409766,-97.013007999999999" TargetMode="External"/><Relationship Id="rId642" Type="http://schemas.openxmlformats.org/officeDocument/2006/relationships/hyperlink" Target="https://maps.google.com/?q=17.21886584,-98.192429989999994" TargetMode="External"/><Relationship Id="rId1065" Type="http://schemas.openxmlformats.org/officeDocument/2006/relationships/hyperlink" Target="https://maps.google.com/?q=17.380752,-96.162834000000004" TargetMode="External"/><Relationship Id="rId1272" Type="http://schemas.openxmlformats.org/officeDocument/2006/relationships/hyperlink" Target="https://maps.google.com/?q=16.78206287,-96.947856939999994" TargetMode="External"/><Relationship Id="rId2116" Type="http://schemas.openxmlformats.org/officeDocument/2006/relationships/hyperlink" Target="https://maps.google.com/?q=17.063778,-96.729971000000006" TargetMode="External"/><Relationship Id="rId2323" Type="http://schemas.openxmlformats.org/officeDocument/2006/relationships/hyperlink" Target="https://maps.google.com/?q=16.95558,-96.479206000000005" TargetMode="External"/><Relationship Id="rId2530" Type="http://schemas.openxmlformats.org/officeDocument/2006/relationships/hyperlink" Target="https://maps.google.com/?q=16.386053718423145,-96.840202391342203" TargetMode="External"/><Relationship Id="rId502" Type="http://schemas.openxmlformats.org/officeDocument/2006/relationships/hyperlink" Target="https://maps.google.com/?q=17.431136,-96.933581000000004" TargetMode="External"/><Relationship Id="rId1132" Type="http://schemas.openxmlformats.org/officeDocument/2006/relationships/hyperlink" Target="https://maps.google.com/?q=17.381583,-96.161061000000004" TargetMode="External"/><Relationship Id="rId3097" Type="http://schemas.openxmlformats.org/officeDocument/2006/relationships/hyperlink" Target="https://maps.google.com/?q=16.4344509134416,-95.018534845222405" TargetMode="External"/><Relationship Id="rId1949" Type="http://schemas.openxmlformats.org/officeDocument/2006/relationships/hyperlink" Target="https://maps.google.com/?q=18.081169,-96.118475000000004" TargetMode="External"/><Relationship Id="rId3164" Type="http://schemas.openxmlformats.org/officeDocument/2006/relationships/hyperlink" Target="https://maps.google.com/?q=16.4490238814961,-95.019370492696893" TargetMode="External"/><Relationship Id="rId292" Type="http://schemas.openxmlformats.org/officeDocument/2006/relationships/hyperlink" Target="https://maps.google.com/?q=16.6142705819107,-97.788856337295897" TargetMode="External"/><Relationship Id="rId1809" Type="http://schemas.openxmlformats.org/officeDocument/2006/relationships/hyperlink" Target="https://maps.google.com/?q=15.773504,-96.142360600000004" TargetMode="External"/><Relationship Id="rId2180" Type="http://schemas.openxmlformats.org/officeDocument/2006/relationships/hyperlink" Target="https://maps.google.com/?q=17.335316,-98.012051" TargetMode="External"/><Relationship Id="rId3024" Type="http://schemas.openxmlformats.org/officeDocument/2006/relationships/hyperlink" Target="https://maps.google.com/?q=16.4256436007457,-95.0221722969837" TargetMode="External"/><Relationship Id="rId3231" Type="http://schemas.openxmlformats.org/officeDocument/2006/relationships/hyperlink" Target="https://maps.google.com/?q=16.866371,-96.785623000000001" TargetMode="External"/><Relationship Id="rId152" Type="http://schemas.openxmlformats.org/officeDocument/2006/relationships/hyperlink" Target="https://maps.google.com/?q=16.7808721702019,-96.579652772813205" TargetMode="External"/><Relationship Id="rId2040" Type="http://schemas.openxmlformats.org/officeDocument/2006/relationships/hyperlink" Target="https://maps.google.com/?q=18.13222,-97.070751000000001" TargetMode="External"/><Relationship Id="rId2997" Type="http://schemas.openxmlformats.org/officeDocument/2006/relationships/hyperlink" Target="https://maps.google.com/?q=16.4218824573534,-95.015017647821793" TargetMode="External"/><Relationship Id="rId969" Type="http://schemas.openxmlformats.org/officeDocument/2006/relationships/hyperlink" Target="https://maps.google.com/?q=17.379172,-96.160089999999997" TargetMode="External"/><Relationship Id="rId1599" Type="http://schemas.openxmlformats.org/officeDocument/2006/relationships/hyperlink" Target="https://maps.google.com/?q=16.79024273,-96.899093460000003" TargetMode="External"/><Relationship Id="rId1459" Type="http://schemas.openxmlformats.org/officeDocument/2006/relationships/hyperlink" Target="https://maps.google.com/?q=16.78893162,-96.897765070000005" TargetMode="External"/><Relationship Id="rId2857" Type="http://schemas.openxmlformats.org/officeDocument/2006/relationships/hyperlink" Target="https://maps.google.com/?q=17.010040079055,-97.465784341104396" TargetMode="External"/><Relationship Id="rId98" Type="http://schemas.openxmlformats.org/officeDocument/2006/relationships/hyperlink" Target="https://maps.google.com/?q=17.0121090348265,-96.890169935432198" TargetMode="External"/><Relationship Id="rId829" Type="http://schemas.openxmlformats.org/officeDocument/2006/relationships/hyperlink" Target="https://maps.google.com/?q=16.712652,-94.748125000000002" TargetMode="External"/><Relationship Id="rId1666" Type="http://schemas.openxmlformats.org/officeDocument/2006/relationships/hyperlink" Target="https://maps.google.com/?q=17.25547198,-97.886546682209001" TargetMode="External"/><Relationship Id="rId1873" Type="http://schemas.openxmlformats.org/officeDocument/2006/relationships/hyperlink" Target="https://maps.google.com/?q=16.95558,-96.479206000000005" TargetMode="External"/><Relationship Id="rId2717" Type="http://schemas.openxmlformats.org/officeDocument/2006/relationships/hyperlink" Target="https://maps.google.com/?q=18.0620465515757,-96.142694565641406" TargetMode="External"/><Relationship Id="rId2924" Type="http://schemas.openxmlformats.org/officeDocument/2006/relationships/hyperlink" Target="https://maps.google.com/?q=17.336919,-98.172546999999994" TargetMode="External"/><Relationship Id="rId1319" Type="http://schemas.openxmlformats.org/officeDocument/2006/relationships/hyperlink" Target="https://maps.google.com/?q=16.78687883,-96.902116280000001" TargetMode="External"/><Relationship Id="rId1526" Type="http://schemas.openxmlformats.org/officeDocument/2006/relationships/hyperlink" Target="https://maps.google.com/?q=16.78940989,-96.90677239" TargetMode="External"/><Relationship Id="rId1733" Type="http://schemas.openxmlformats.org/officeDocument/2006/relationships/hyperlink" Target="https://maps.google.com/?q=16.327526,-96.585187000000005" TargetMode="External"/><Relationship Id="rId1940" Type="http://schemas.openxmlformats.org/officeDocument/2006/relationships/hyperlink" Target="https://maps.google.com/?q=17.335316,-98.012051" TargetMode="External"/><Relationship Id="rId25" Type="http://schemas.openxmlformats.org/officeDocument/2006/relationships/hyperlink" Target="https://maps.google.com/?q=15.98697775,-95.673232960000007" TargetMode="External"/><Relationship Id="rId1800" Type="http://schemas.openxmlformats.org/officeDocument/2006/relationships/hyperlink" Target="https://maps.google.com/?q=15.7732753,-96.137150800000001" TargetMode="External"/><Relationship Id="rId479" Type="http://schemas.openxmlformats.org/officeDocument/2006/relationships/hyperlink" Target="https://maps.google.com/?q=17.425937,-97.008640999999997" TargetMode="External"/><Relationship Id="rId686" Type="http://schemas.openxmlformats.org/officeDocument/2006/relationships/hyperlink" Target="https://maps.google.com/?q=17.2575814063557,-98.262921658895493" TargetMode="External"/><Relationship Id="rId893" Type="http://schemas.openxmlformats.org/officeDocument/2006/relationships/hyperlink" Target="https://maps.google.com/?q=16.715586,-94.745720000000006" TargetMode="External"/><Relationship Id="rId2367" Type="http://schemas.openxmlformats.org/officeDocument/2006/relationships/hyperlink" Target="https://maps.google.com/?q=17.724615,-97.323898" TargetMode="External"/><Relationship Id="rId2574" Type="http://schemas.openxmlformats.org/officeDocument/2006/relationships/hyperlink" Target="https://maps.google.com/?q=16.38758161997636,-96.839524138739577" TargetMode="External"/><Relationship Id="rId2781" Type="http://schemas.openxmlformats.org/officeDocument/2006/relationships/hyperlink" Target="https://maps.google.com/?q=18.0855152948659,-96.167464510415996" TargetMode="External"/><Relationship Id="rId339" Type="http://schemas.openxmlformats.org/officeDocument/2006/relationships/hyperlink" Target="https://maps.google.com/?q=16.5185446461435,-97.781773059946303" TargetMode="External"/><Relationship Id="rId546" Type="http://schemas.openxmlformats.org/officeDocument/2006/relationships/hyperlink" Target="https://maps.google.com/?q=17.1910518165212,-97.715438542327902" TargetMode="External"/><Relationship Id="rId753" Type="http://schemas.openxmlformats.org/officeDocument/2006/relationships/hyperlink" Target="https://maps.google.com/?q=16.8178226838723,-95.117386704417996" TargetMode="External"/><Relationship Id="rId1176" Type="http://schemas.openxmlformats.org/officeDocument/2006/relationships/hyperlink" Target="https://maps.google.com/?q=17.383617,-96.161801999999994" TargetMode="External"/><Relationship Id="rId1383" Type="http://schemas.openxmlformats.org/officeDocument/2006/relationships/hyperlink" Target="https://maps.google.com/?q=16.78804959,-96.899469179999997" TargetMode="External"/><Relationship Id="rId2227" Type="http://schemas.openxmlformats.org/officeDocument/2006/relationships/hyperlink" Target="https://maps.google.com/?q=16.500512,-96.106790000000004" TargetMode="External"/><Relationship Id="rId2434" Type="http://schemas.openxmlformats.org/officeDocument/2006/relationships/hyperlink" Target="https://maps.google.com/?q=16.384049203027583,-96.844546874432083" TargetMode="External"/><Relationship Id="rId406" Type="http://schemas.openxmlformats.org/officeDocument/2006/relationships/hyperlink" Target="https://maps.google.com/?q=17.40062091,-96.928046780000003" TargetMode="External"/><Relationship Id="rId960" Type="http://schemas.openxmlformats.org/officeDocument/2006/relationships/hyperlink" Target="https://maps.google.com/?q=17.378344,-96.158668000000006" TargetMode="External"/><Relationship Id="rId1036" Type="http://schemas.openxmlformats.org/officeDocument/2006/relationships/hyperlink" Target="https://maps.google.com/?q=17.38041,-96.162929000000005" TargetMode="External"/><Relationship Id="rId1243" Type="http://schemas.openxmlformats.org/officeDocument/2006/relationships/hyperlink" Target="https://maps.google.com/?q=16.77993624,-96.951512320000006" TargetMode="External"/><Relationship Id="rId1590" Type="http://schemas.openxmlformats.org/officeDocument/2006/relationships/hyperlink" Target="https://maps.google.com/?q=16.79009478,-96.895461449999999" TargetMode="External"/><Relationship Id="rId2641" Type="http://schemas.openxmlformats.org/officeDocument/2006/relationships/hyperlink" Target="https://maps.google.com/?q=17.9911265457903,-96.102824077873294" TargetMode="External"/><Relationship Id="rId613" Type="http://schemas.openxmlformats.org/officeDocument/2006/relationships/hyperlink" Target="https://maps.google.com/?q=17.2738725639452,-98.279553635582005" TargetMode="External"/><Relationship Id="rId820" Type="http://schemas.openxmlformats.org/officeDocument/2006/relationships/hyperlink" Target="https://maps.google.com/?q=16.7120392,-94.745220399999994" TargetMode="External"/><Relationship Id="rId1450" Type="http://schemas.openxmlformats.org/officeDocument/2006/relationships/hyperlink" Target="https://maps.google.com/?q=16.78885738,-96.916368910000003" TargetMode="External"/><Relationship Id="rId2501" Type="http://schemas.openxmlformats.org/officeDocument/2006/relationships/hyperlink" Target="https://maps.google.com/?q=16.385378900996837,-96.838259860234587" TargetMode="External"/><Relationship Id="rId1103" Type="http://schemas.openxmlformats.org/officeDocument/2006/relationships/hyperlink" Target="https://maps.google.com/?q=17.38114,-96.161225000000002" TargetMode="External"/><Relationship Id="rId1310" Type="http://schemas.openxmlformats.org/officeDocument/2006/relationships/hyperlink" Target="https://maps.google.com/?q=16.7866481,-96.909074320000002" TargetMode="External"/><Relationship Id="rId3068" Type="http://schemas.openxmlformats.org/officeDocument/2006/relationships/hyperlink" Target="https://maps.google.com/?q=16.42952558,-95.030413249999995" TargetMode="External"/><Relationship Id="rId3275" Type="http://schemas.openxmlformats.org/officeDocument/2006/relationships/hyperlink" Target="https://maps.google.com/?q=18.119293,%09-97.084786" TargetMode="External"/><Relationship Id="rId196" Type="http://schemas.openxmlformats.org/officeDocument/2006/relationships/hyperlink" Target="https://maps.google.com/?q=16.7837266192711,-96.579933364418096" TargetMode="External"/><Relationship Id="rId2084" Type="http://schemas.openxmlformats.org/officeDocument/2006/relationships/hyperlink" Target="https://maps.google.com/?q=17.026216,-97.928115000000005" TargetMode="External"/><Relationship Id="rId2291" Type="http://schemas.openxmlformats.org/officeDocument/2006/relationships/hyperlink" Target="https://maps.google.com/?q=16.866371,-96.785623000000001" TargetMode="External"/><Relationship Id="rId3135" Type="http://schemas.openxmlformats.org/officeDocument/2006/relationships/hyperlink" Target="https://maps.google.com/?q=16.4399035668639,-95.029366424278905" TargetMode="External"/><Relationship Id="rId263" Type="http://schemas.openxmlformats.org/officeDocument/2006/relationships/hyperlink" Target="https://maps.google.com/?q=16.9723555376286,-97.032911165675998" TargetMode="External"/><Relationship Id="rId470" Type="http://schemas.openxmlformats.org/officeDocument/2006/relationships/hyperlink" Target="https://maps.google.com/?q=17.4228214,-96.932498260000003" TargetMode="External"/><Relationship Id="rId2151" Type="http://schemas.openxmlformats.org/officeDocument/2006/relationships/hyperlink" Target="https://maps.google.com/?q=17.33873,-96.152553999999995" TargetMode="External"/><Relationship Id="rId3202" Type="http://schemas.openxmlformats.org/officeDocument/2006/relationships/hyperlink" Target="https://maps.google.com/?q=16.950706,-96.750504000000006" TargetMode="External"/><Relationship Id="rId123" Type="http://schemas.openxmlformats.org/officeDocument/2006/relationships/hyperlink" Target="https://maps.google.com/?q=16.7772971177563,-96.583322675955799" TargetMode="External"/><Relationship Id="rId330" Type="http://schemas.openxmlformats.org/officeDocument/2006/relationships/hyperlink" Target="https://maps.google.com/?q=16.5171454314051,-97.779253705522507" TargetMode="External"/><Relationship Id="rId2011" Type="http://schemas.openxmlformats.org/officeDocument/2006/relationships/hyperlink" Target="https://maps.google.com/?q=15.746144,-96.465182999999996" TargetMode="External"/><Relationship Id="rId2968" Type="http://schemas.openxmlformats.org/officeDocument/2006/relationships/hyperlink" Target="https://maps.google.com/?q=17.4314575930542,-98.289570186508101" TargetMode="External"/><Relationship Id="rId1777" Type="http://schemas.openxmlformats.org/officeDocument/2006/relationships/hyperlink" Target="https://maps.google.com/?q=15.7730225,-96.141342300000005" TargetMode="External"/><Relationship Id="rId1984" Type="http://schemas.openxmlformats.org/officeDocument/2006/relationships/hyperlink" Target="https://maps.google.com/?q=16.328751,-96.596529000000004" TargetMode="External"/><Relationship Id="rId2828" Type="http://schemas.openxmlformats.org/officeDocument/2006/relationships/hyperlink" Target="https://maps.google.com/?q=17.0161145978869,-97.500583860118795" TargetMode="External"/><Relationship Id="rId69" Type="http://schemas.openxmlformats.org/officeDocument/2006/relationships/hyperlink" Target="https://maps.google.com/?q=16.98358789,-96.890796463789002" TargetMode="External"/><Relationship Id="rId1637" Type="http://schemas.openxmlformats.org/officeDocument/2006/relationships/hyperlink" Target="https://maps.google.com/?q=17.2481399,-97.799918140000003" TargetMode="External"/><Relationship Id="rId1844" Type="http://schemas.openxmlformats.org/officeDocument/2006/relationships/hyperlink" Target="https://maps.google.com/?q=16.679437101593447,-96.6541323325546" TargetMode="External"/><Relationship Id="rId1704" Type="http://schemas.openxmlformats.org/officeDocument/2006/relationships/hyperlink" Target="https://maps.google.com/?q=17.3130364044365,-97.946304480985603" TargetMode="External"/><Relationship Id="rId1911" Type="http://schemas.openxmlformats.org/officeDocument/2006/relationships/hyperlink" Target="https://maps.google.com/?q=17.33873,-96.152553999999995" TargetMode="External"/><Relationship Id="rId797" Type="http://schemas.openxmlformats.org/officeDocument/2006/relationships/hyperlink" Target="https://maps.google.com/?q=16.8936975691491,-95.036869752149698" TargetMode="External"/><Relationship Id="rId2478" Type="http://schemas.openxmlformats.org/officeDocument/2006/relationships/hyperlink" Target="https://maps.google.com/?q=16.384852297555437,-96.841421815558647" TargetMode="External"/><Relationship Id="rId1287" Type="http://schemas.openxmlformats.org/officeDocument/2006/relationships/hyperlink" Target="https://maps.google.com/?q=16.78336616,-96.933677439999997" TargetMode="External"/><Relationship Id="rId2685" Type="http://schemas.openxmlformats.org/officeDocument/2006/relationships/hyperlink" Target="https://maps.google.com/?q=18.052765,-96.141024000000002" TargetMode="External"/><Relationship Id="rId2892" Type="http://schemas.openxmlformats.org/officeDocument/2006/relationships/hyperlink" Target="https://maps.google.com/?q=17.320237,-98.239305000000002" TargetMode="External"/><Relationship Id="rId657" Type="http://schemas.openxmlformats.org/officeDocument/2006/relationships/hyperlink" Target="https://maps.google.com/?q=17.22210959,-98.192494080000003" TargetMode="External"/><Relationship Id="rId864" Type="http://schemas.openxmlformats.org/officeDocument/2006/relationships/hyperlink" Target="https://maps.google.com/?q=16.714371,-94.749016999999995" TargetMode="External"/><Relationship Id="rId1494" Type="http://schemas.openxmlformats.org/officeDocument/2006/relationships/hyperlink" Target="https://maps.google.com/?q=16.78917421,-96.904622549999999" TargetMode="External"/><Relationship Id="rId2338" Type="http://schemas.openxmlformats.org/officeDocument/2006/relationships/hyperlink" Target="https://maps.google.com/?q=17.806621,-97.776161999999999" TargetMode="External"/><Relationship Id="rId2545" Type="http://schemas.openxmlformats.org/officeDocument/2006/relationships/hyperlink" Target="https://maps.google.com/?q=16.38673349608899,-96.836603441605618" TargetMode="External"/><Relationship Id="rId2752" Type="http://schemas.openxmlformats.org/officeDocument/2006/relationships/hyperlink" Target="https://maps.google.com/?q=18.0816875576426,-96.176017626983494" TargetMode="External"/><Relationship Id="rId517" Type="http://schemas.openxmlformats.org/officeDocument/2006/relationships/hyperlink" Target="https://maps.google.com/?q=17.1534087446936,-97.741519766864897" TargetMode="External"/><Relationship Id="rId724" Type="http://schemas.openxmlformats.org/officeDocument/2006/relationships/hyperlink" Target="https://maps.google.com/?q=17.2633174061574,-98.266660705522597" TargetMode="External"/><Relationship Id="rId931" Type="http://schemas.openxmlformats.org/officeDocument/2006/relationships/hyperlink" Target="https://maps.google.com/?q=16.6750596935101,-94.774909984996199" TargetMode="External"/><Relationship Id="rId1147" Type="http://schemas.openxmlformats.org/officeDocument/2006/relationships/hyperlink" Target="https://maps.google.com/?q=17.381892,-96.164590000000004" TargetMode="External"/><Relationship Id="rId1354" Type="http://schemas.openxmlformats.org/officeDocument/2006/relationships/hyperlink" Target="https://maps.google.com/?q=16.7876312,-96.898327030000004" TargetMode="External"/><Relationship Id="rId1561" Type="http://schemas.openxmlformats.org/officeDocument/2006/relationships/hyperlink" Target="https://maps.google.com/?q=16.78978319,-96.905400240000006" TargetMode="External"/><Relationship Id="rId2405" Type="http://schemas.openxmlformats.org/officeDocument/2006/relationships/hyperlink" Target="https://maps.google.com/?q=16.383187538499943,-96.836859890305917" TargetMode="External"/><Relationship Id="rId2612" Type="http://schemas.openxmlformats.org/officeDocument/2006/relationships/hyperlink" Target="https://maps.google.com/?q=17.215909,-97.729555" TargetMode="External"/><Relationship Id="rId60" Type="http://schemas.openxmlformats.org/officeDocument/2006/relationships/hyperlink" Target="https://maps.google.com/?q=16.9810652614289,-96.891746177909695" TargetMode="External"/><Relationship Id="rId1007" Type="http://schemas.openxmlformats.org/officeDocument/2006/relationships/hyperlink" Target="https://maps.google.com/?q=17.380075,-96.160048000000003" TargetMode="External"/><Relationship Id="rId1214" Type="http://schemas.openxmlformats.org/officeDocument/2006/relationships/hyperlink" Target="https://maps.google.com/?q=17.099529973,-96.771059409" TargetMode="External"/><Relationship Id="rId1421" Type="http://schemas.openxmlformats.org/officeDocument/2006/relationships/hyperlink" Target="https://maps.google.com/?q=16.7886038,-96.898100499999998" TargetMode="External"/><Relationship Id="rId3179" Type="http://schemas.openxmlformats.org/officeDocument/2006/relationships/hyperlink" Target="https://maps.google.com/?q=16.4582456983973,-95.025257555360398" TargetMode="External"/><Relationship Id="rId2195" Type="http://schemas.openxmlformats.org/officeDocument/2006/relationships/hyperlink" Target="https://maps.google.com/?q=16.332014,-95.231966" TargetMode="External"/><Relationship Id="rId3039" Type="http://schemas.openxmlformats.org/officeDocument/2006/relationships/hyperlink" Target="https://maps.google.com/?q=16.4264179743702,-95.029875008774496" TargetMode="External"/><Relationship Id="rId3246" Type="http://schemas.openxmlformats.org/officeDocument/2006/relationships/hyperlink" Target="https://maps.google.com/?q=17.724615,-97.323898" TargetMode="External"/><Relationship Id="rId167" Type="http://schemas.openxmlformats.org/officeDocument/2006/relationships/hyperlink" Target="https://maps.google.com/?q=16.7821952821172,-96.578944998689707" TargetMode="External"/><Relationship Id="rId374" Type="http://schemas.openxmlformats.org/officeDocument/2006/relationships/hyperlink" Target="https://maps.google.com/?q=16.501406,-97.781233" TargetMode="External"/><Relationship Id="rId581" Type="http://schemas.openxmlformats.org/officeDocument/2006/relationships/hyperlink" Target="https://maps.google.com/?q=17.1812090705339,-98.197688965029698" TargetMode="External"/><Relationship Id="rId2055" Type="http://schemas.openxmlformats.org/officeDocument/2006/relationships/hyperlink" Target="https://maps.google.com/?q=17.027131,-96.077044000000001" TargetMode="External"/><Relationship Id="rId2262" Type="http://schemas.openxmlformats.org/officeDocument/2006/relationships/hyperlink" Target="https://maps.google.com/?q=16.950706,-96.750504000000006" TargetMode="External"/><Relationship Id="rId3106" Type="http://schemas.openxmlformats.org/officeDocument/2006/relationships/hyperlink" Target="https://maps.google.com/?q=16.4371273121488,-95.025832507498805" TargetMode="External"/><Relationship Id="rId234" Type="http://schemas.openxmlformats.org/officeDocument/2006/relationships/hyperlink" Target="https://maps.google.com/?q=17.1052786269237,-96.970407674951403" TargetMode="External"/><Relationship Id="rId441" Type="http://schemas.openxmlformats.org/officeDocument/2006/relationships/hyperlink" Target="https://maps.google.com/?q=17.412536,-97.013396" TargetMode="External"/><Relationship Id="rId1071" Type="http://schemas.openxmlformats.org/officeDocument/2006/relationships/hyperlink" Target="https://maps.google.com/?q=17.380826,-96.160790000000006" TargetMode="External"/><Relationship Id="rId2122" Type="http://schemas.openxmlformats.org/officeDocument/2006/relationships/hyperlink" Target="https://maps.google.com/?q=17.361766,-95.922253999999995" TargetMode="External"/><Relationship Id="rId301" Type="http://schemas.openxmlformats.org/officeDocument/2006/relationships/hyperlink" Target="https://maps.google.com/?q=16.6159379914232,-97.788408174908795" TargetMode="External"/><Relationship Id="rId1888" Type="http://schemas.openxmlformats.org/officeDocument/2006/relationships/hyperlink" Target="https://maps.google.com/?q=17.806621,-97.776161999999999" TargetMode="External"/><Relationship Id="rId2939" Type="http://schemas.openxmlformats.org/officeDocument/2006/relationships/hyperlink" Target="https://maps.google.com/?q=17.338042,-98.170255999999995" TargetMode="External"/><Relationship Id="rId1748" Type="http://schemas.openxmlformats.org/officeDocument/2006/relationships/hyperlink" Target="https://maps.google.com/?q=17.031329,-96.699266" TargetMode="External"/><Relationship Id="rId1955" Type="http://schemas.openxmlformats.org/officeDocument/2006/relationships/hyperlink" Target="https://maps.google.com/?q=16.332014,-95.231966" TargetMode="External"/><Relationship Id="rId3170" Type="http://schemas.openxmlformats.org/officeDocument/2006/relationships/hyperlink" Target="https://maps.google.com/?q=16.4512331134537,-95.030563183386604" TargetMode="External"/><Relationship Id="rId1608" Type="http://schemas.openxmlformats.org/officeDocument/2006/relationships/hyperlink" Target="https://maps.google.com/?q=16.369862,-94.962321" TargetMode="External"/><Relationship Id="rId1815" Type="http://schemas.openxmlformats.org/officeDocument/2006/relationships/hyperlink" Target="https://maps.google.com/?q=15.7737573,-96.143956700000004" TargetMode="External"/><Relationship Id="rId3030" Type="http://schemas.openxmlformats.org/officeDocument/2006/relationships/hyperlink" Target="https://maps.google.com/?q=16.4258889532375,-95.014456004734896" TargetMode="External"/><Relationship Id="rId189" Type="http://schemas.openxmlformats.org/officeDocument/2006/relationships/hyperlink" Target="https://maps.google.com/?q=16.7834230491266,-96.578938815973302" TargetMode="External"/><Relationship Id="rId396" Type="http://schemas.openxmlformats.org/officeDocument/2006/relationships/hyperlink" Target="https://maps.google.com/?q=16.4927862840772,-97.583068317791003" TargetMode="External"/><Relationship Id="rId2077" Type="http://schemas.openxmlformats.org/officeDocument/2006/relationships/hyperlink" Target="https://maps.google.com/?q=16.500512,-96.106790000000004" TargetMode="External"/><Relationship Id="rId2284" Type="http://schemas.openxmlformats.org/officeDocument/2006/relationships/hyperlink" Target="https://maps.google.com/?q=16.328751,-96.596529000000004" TargetMode="External"/><Relationship Id="rId2491" Type="http://schemas.openxmlformats.org/officeDocument/2006/relationships/hyperlink" Target="https://maps.google.com/?q=16.385197022516703,-96.839674296052735" TargetMode="External"/><Relationship Id="rId3128" Type="http://schemas.openxmlformats.org/officeDocument/2006/relationships/hyperlink" Target="https://maps.google.com/?q=16.4394677228604,-95.007870719819707" TargetMode="External"/><Relationship Id="rId256" Type="http://schemas.openxmlformats.org/officeDocument/2006/relationships/hyperlink" Target="https://maps.google.com/?q=16.9701683419327,-97.0356116682417" TargetMode="External"/><Relationship Id="rId463" Type="http://schemas.openxmlformats.org/officeDocument/2006/relationships/hyperlink" Target="https://maps.google.com/?q=17.416522,-96.931843999999998" TargetMode="External"/><Relationship Id="rId670" Type="http://schemas.openxmlformats.org/officeDocument/2006/relationships/hyperlink" Target="https://maps.google.com/?q=17.2563820027108,-98.263515999999996" TargetMode="External"/><Relationship Id="rId1093" Type="http://schemas.openxmlformats.org/officeDocument/2006/relationships/hyperlink" Target="https://maps.google.com/?q=17.38105,-96.164670999999998" TargetMode="External"/><Relationship Id="rId2144" Type="http://schemas.openxmlformats.org/officeDocument/2006/relationships/hyperlink" Target="https://maps.google.com/?q=17.026216,-97.928115000000005" TargetMode="External"/><Relationship Id="rId2351" Type="http://schemas.openxmlformats.org/officeDocument/2006/relationships/hyperlink" Target="https://maps.google.com/?q=16.791625,-96.674999" TargetMode="External"/><Relationship Id="rId2589" Type="http://schemas.openxmlformats.org/officeDocument/2006/relationships/hyperlink" Target="https://maps.google.com/?q=16.39408674023721,-96.84231256697268" TargetMode="External"/><Relationship Id="rId2796" Type="http://schemas.openxmlformats.org/officeDocument/2006/relationships/hyperlink" Target="https://maps.google.com/?q=18.0967896196071,-96.161919038028799" TargetMode="External"/><Relationship Id="rId116" Type="http://schemas.openxmlformats.org/officeDocument/2006/relationships/hyperlink" Target="https://maps.google.com/?q=16.9523019002273,-96.899007160102499" TargetMode="External"/><Relationship Id="rId323" Type="http://schemas.openxmlformats.org/officeDocument/2006/relationships/hyperlink" Target="https://maps.google.com/?q=16.5144500385655,-97.7810305950469" TargetMode="External"/><Relationship Id="rId530" Type="http://schemas.openxmlformats.org/officeDocument/2006/relationships/hyperlink" Target="https://maps.google.com/?q=17.1567656888369,-97.719900839633198" TargetMode="External"/><Relationship Id="rId768" Type="http://schemas.openxmlformats.org/officeDocument/2006/relationships/hyperlink" Target="https://maps.google.com/?q=16.8213327363589,-95.121522093105298" TargetMode="External"/><Relationship Id="rId975" Type="http://schemas.openxmlformats.org/officeDocument/2006/relationships/hyperlink" Target="https://maps.google.com/?q=17.379497,-96.161612000000005" TargetMode="External"/><Relationship Id="rId1160" Type="http://schemas.openxmlformats.org/officeDocument/2006/relationships/hyperlink" Target="https://maps.google.com/?q=17.382171,-96.166307000000003" TargetMode="External"/><Relationship Id="rId1398" Type="http://schemas.openxmlformats.org/officeDocument/2006/relationships/hyperlink" Target="https://maps.google.com/?q=16.78830596,-96.906783989999994" TargetMode="External"/><Relationship Id="rId2004" Type="http://schemas.openxmlformats.org/officeDocument/2006/relationships/hyperlink" Target="https://maps.google.com/?q=17.501442,-98.142583999999999" TargetMode="External"/><Relationship Id="rId2211" Type="http://schemas.openxmlformats.org/officeDocument/2006/relationships/hyperlink" Target="https://maps.google.com/?q=17.33873,-96.152553999999995" TargetMode="External"/><Relationship Id="rId2449" Type="http://schemas.openxmlformats.org/officeDocument/2006/relationships/hyperlink" Target="https://maps.google.com/?q=16.384363650705733,-96.843428989576054" TargetMode="External"/><Relationship Id="rId2656" Type="http://schemas.openxmlformats.org/officeDocument/2006/relationships/hyperlink" Target="https://maps.google.com/?q=18.1253105847676,-95.9982855086607" TargetMode="External"/><Relationship Id="rId2863" Type="http://schemas.openxmlformats.org/officeDocument/2006/relationships/hyperlink" Target="https://maps.google.com/?q=17.0109550027089,-97.464037658895506" TargetMode="External"/><Relationship Id="rId628" Type="http://schemas.openxmlformats.org/officeDocument/2006/relationships/hyperlink" Target="https://maps.google.com/?q=17.278157802578,-98.279924312654899" TargetMode="External"/><Relationship Id="rId835" Type="http://schemas.openxmlformats.org/officeDocument/2006/relationships/hyperlink" Target="https://maps.google.com/?q=16.712995,-94.748103" TargetMode="External"/><Relationship Id="rId1258" Type="http://schemas.openxmlformats.org/officeDocument/2006/relationships/hyperlink" Target="https://maps.google.com/?q=16.78112687,-96.945791940000007" TargetMode="External"/><Relationship Id="rId1465" Type="http://schemas.openxmlformats.org/officeDocument/2006/relationships/hyperlink" Target="https://maps.google.com/?q=16.78897364,-96.918740389999996" TargetMode="External"/><Relationship Id="rId1672" Type="http://schemas.openxmlformats.org/officeDocument/2006/relationships/hyperlink" Target="https://maps.google.com/?q=17.2560007657727,-97.819322447634306" TargetMode="External"/><Relationship Id="rId2309" Type="http://schemas.openxmlformats.org/officeDocument/2006/relationships/hyperlink" Target="https://maps.google.com/?q=18.081169,-96.118475000000004" TargetMode="External"/><Relationship Id="rId2516" Type="http://schemas.openxmlformats.org/officeDocument/2006/relationships/hyperlink" Target="https://maps.google.com/?q=16.3855819382386,-96.840079250029717" TargetMode="External"/><Relationship Id="rId2723" Type="http://schemas.openxmlformats.org/officeDocument/2006/relationships/hyperlink" Target="https://maps.google.com/?q=18.0628023025371,-96.143692425760307" TargetMode="External"/><Relationship Id="rId1020" Type="http://schemas.openxmlformats.org/officeDocument/2006/relationships/hyperlink" Target="https://maps.google.com/?q=17.380282,-96.159959999999998" TargetMode="External"/><Relationship Id="rId1118" Type="http://schemas.openxmlformats.org/officeDocument/2006/relationships/hyperlink" Target="https://maps.google.com/?q=17.381396,-96.160039999999995" TargetMode="External"/><Relationship Id="rId1325" Type="http://schemas.openxmlformats.org/officeDocument/2006/relationships/hyperlink" Target="https://maps.google.com/?q=16.78693751,-96.911462099999994" TargetMode="External"/><Relationship Id="rId1532" Type="http://schemas.openxmlformats.org/officeDocument/2006/relationships/hyperlink" Target="https://maps.google.com/?q=16.78951912,-96.920354169999996" TargetMode="External"/><Relationship Id="rId1977" Type="http://schemas.openxmlformats.org/officeDocument/2006/relationships/hyperlink" Target="https://maps.google.com/?q=17.801687,-96.959688" TargetMode="External"/><Relationship Id="rId2930" Type="http://schemas.openxmlformats.org/officeDocument/2006/relationships/hyperlink" Target="https://maps.google.com/?q=17.337382,-98.170018999999996" TargetMode="External"/><Relationship Id="rId902" Type="http://schemas.openxmlformats.org/officeDocument/2006/relationships/hyperlink" Target="https://maps.google.com/?q=16.7163209,-94.746555700000002" TargetMode="External"/><Relationship Id="rId1837" Type="http://schemas.openxmlformats.org/officeDocument/2006/relationships/hyperlink" Target="https://maps.google.com/?q=17.055030294043057,-96.65381394064433" TargetMode="External"/><Relationship Id="rId3192" Type="http://schemas.openxmlformats.org/officeDocument/2006/relationships/hyperlink" Target="https://maps.google.com/?q=16.237076,-97.292351999999994" TargetMode="External"/><Relationship Id="rId31" Type="http://schemas.openxmlformats.org/officeDocument/2006/relationships/hyperlink" Target="https://maps.google.com/?q=15.98777432,-95.674341310000003" TargetMode="External"/><Relationship Id="rId2099" Type="http://schemas.openxmlformats.org/officeDocument/2006/relationships/hyperlink" Target="https://maps.google.com/?q=18.081169,-96.118475000000004" TargetMode="External"/><Relationship Id="rId3052" Type="http://schemas.openxmlformats.org/officeDocument/2006/relationships/hyperlink" Target="https://maps.google.com/?q=16.4279881622112,-95.009448904049904" TargetMode="External"/><Relationship Id="rId180" Type="http://schemas.openxmlformats.org/officeDocument/2006/relationships/hyperlink" Target="https://maps.google.com/?q=16.7828370657922,-96.582372595071902" TargetMode="External"/><Relationship Id="rId278" Type="http://schemas.openxmlformats.org/officeDocument/2006/relationships/hyperlink" Target="https://maps.google.com/?q=17.0664776927181,-96.966032542268394" TargetMode="External"/><Relationship Id="rId1904" Type="http://schemas.openxmlformats.org/officeDocument/2006/relationships/hyperlink" Target="https://maps.google.com/?q=17.026216,-97.928115000000005" TargetMode="External"/><Relationship Id="rId485" Type="http://schemas.openxmlformats.org/officeDocument/2006/relationships/hyperlink" Target="https://maps.google.com/?q=17.38029028,-96.919175129999999" TargetMode="External"/><Relationship Id="rId692" Type="http://schemas.openxmlformats.org/officeDocument/2006/relationships/hyperlink" Target="https://maps.google.com/?q=17.2586068725493,-98.262743193952801" TargetMode="External"/><Relationship Id="rId2166" Type="http://schemas.openxmlformats.org/officeDocument/2006/relationships/hyperlink" Target="https://maps.google.com/?q=16.433347,-95.021687" TargetMode="External"/><Relationship Id="rId2373" Type="http://schemas.openxmlformats.org/officeDocument/2006/relationships/hyperlink" Target="https://maps.google.com/?q=16.379842642518007,-96.844018911059848" TargetMode="External"/><Relationship Id="rId2580" Type="http://schemas.openxmlformats.org/officeDocument/2006/relationships/hyperlink" Target="https://maps.google.com/?q=16.388457515140978,-96.839011142964338" TargetMode="External"/><Relationship Id="rId3217" Type="http://schemas.openxmlformats.org/officeDocument/2006/relationships/hyperlink" Target="https://maps.google.com/?q=17.801687,-96.959688" TargetMode="External"/><Relationship Id="rId138" Type="http://schemas.openxmlformats.org/officeDocument/2006/relationships/hyperlink" Target="https://maps.google.com/?q=16.7801829866934,-96.581445326389598" TargetMode="External"/><Relationship Id="rId345" Type="http://schemas.openxmlformats.org/officeDocument/2006/relationships/hyperlink" Target="https://maps.google.com/?q=16.498573,-97.783625999999998" TargetMode="External"/><Relationship Id="rId552" Type="http://schemas.openxmlformats.org/officeDocument/2006/relationships/hyperlink" Target="https://maps.google.com/?q=17.070263855081418,-96.83547131003395" TargetMode="External"/><Relationship Id="rId997" Type="http://schemas.openxmlformats.org/officeDocument/2006/relationships/hyperlink" Target="https://maps.google.com/?q=17.379985,-96.163298999999995" TargetMode="External"/><Relationship Id="rId1182" Type="http://schemas.openxmlformats.org/officeDocument/2006/relationships/hyperlink" Target="https://maps.google.com/?q=17.099668,%20-96.771136" TargetMode="External"/><Relationship Id="rId2026" Type="http://schemas.openxmlformats.org/officeDocument/2006/relationships/hyperlink" Target="https://maps.google.com/?q=17.063778,-96.729971000000006" TargetMode="External"/><Relationship Id="rId2233" Type="http://schemas.openxmlformats.org/officeDocument/2006/relationships/hyperlink" Target="https://maps.google.com/?q=16.95558,-96.479206000000005" TargetMode="External"/><Relationship Id="rId2440" Type="http://schemas.openxmlformats.org/officeDocument/2006/relationships/hyperlink" Target="https://maps.google.com/?q=16.384272262972356,-96.841537947914816" TargetMode="External"/><Relationship Id="rId2678" Type="http://schemas.openxmlformats.org/officeDocument/2006/relationships/hyperlink" Target="https://maps.google.com/?q=18.0523582519754,-96.140595177909901" TargetMode="External"/><Relationship Id="rId2885" Type="http://schemas.openxmlformats.org/officeDocument/2006/relationships/hyperlink" Target="https://maps.google.com/?q=17.319677,-98.241198999999995" TargetMode="External"/><Relationship Id="rId205" Type="http://schemas.openxmlformats.org/officeDocument/2006/relationships/hyperlink" Target="https://maps.google.com/?q=16.784229917277,-96.585459440474907" TargetMode="External"/><Relationship Id="rId412" Type="http://schemas.openxmlformats.org/officeDocument/2006/relationships/hyperlink" Target="https://maps.google.com/?q=17.40232274,-96.928514969999995" TargetMode="External"/><Relationship Id="rId857" Type="http://schemas.openxmlformats.org/officeDocument/2006/relationships/hyperlink" Target="https://maps.google.com/?q=16.7140467573137,-94.749456838423498" TargetMode="External"/><Relationship Id="rId1042" Type="http://schemas.openxmlformats.org/officeDocument/2006/relationships/hyperlink" Target="https://maps.google.com/?q=17.380463,-96.161878000000002" TargetMode="External"/><Relationship Id="rId1487" Type="http://schemas.openxmlformats.org/officeDocument/2006/relationships/hyperlink" Target="https://maps.google.com/?q=16.78914368,-96.910447970000007" TargetMode="External"/><Relationship Id="rId1694" Type="http://schemas.openxmlformats.org/officeDocument/2006/relationships/hyperlink" Target="https://maps.google.com/?q=17.281199,-97.873339000000001" TargetMode="External"/><Relationship Id="rId2300" Type="http://schemas.openxmlformats.org/officeDocument/2006/relationships/hyperlink" Target="https://maps.google.com/?q=17.335316,-98.012051" TargetMode="External"/><Relationship Id="rId2538" Type="http://schemas.openxmlformats.org/officeDocument/2006/relationships/hyperlink" Target="https://maps.google.com/?q=16.386401993393296,-96.838819853700585" TargetMode="External"/><Relationship Id="rId2745" Type="http://schemas.openxmlformats.org/officeDocument/2006/relationships/hyperlink" Target="https://maps.google.com/?q=18.0771373571323,-96.168123860118996" TargetMode="External"/><Relationship Id="rId2952" Type="http://schemas.openxmlformats.org/officeDocument/2006/relationships/hyperlink" Target="https://maps.google.com/?q=17.4292,-98.294224999999997" TargetMode="External"/><Relationship Id="rId717" Type="http://schemas.openxmlformats.org/officeDocument/2006/relationships/hyperlink" Target="https://maps.google.com/?q=17.2604320027114,-98.262706682209" TargetMode="External"/><Relationship Id="rId924" Type="http://schemas.openxmlformats.org/officeDocument/2006/relationships/hyperlink" Target="https://maps.google.com/?q=16.6741523561723,-94.778461224536898" TargetMode="External"/><Relationship Id="rId1347" Type="http://schemas.openxmlformats.org/officeDocument/2006/relationships/hyperlink" Target="https://maps.google.com/?q=16.78745477,-96.898450330000003" TargetMode="External"/><Relationship Id="rId1554" Type="http://schemas.openxmlformats.org/officeDocument/2006/relationships/hyperlink" Target="https://maps.google.com/?q=16.78969721,-96.896129259999995" TargetMode="External"/><Relationship Id="rId1761" Type="http://schemas.openxmlformats.org/officeDocument/2006/relationships/hyperlink" Target="https://maps.google.com/?q=17.310286,-96.912491000000003" TargetMode="External"/><Relationship Id="rId1999" Type="http://schemas.openxmlformats.org/officeDocument/2006/relationships/hyperlink" Target="https://maps.google.com/?q=17.331248,-96.487900999999994" TargetMode="External"/><Relationship Id="rId2605" Type="http://schemas.openxmlformats.org/officeDocument/2006/relationships/hyperlink" Target="https://maps.google.com/?q=16.39784526302825,-96.841025107407503" TargetMode="External"/><Relationship Id="rId2812" Type="http://schemas.openxmlformats.org/officeDocument/2006/relationships/hyperlink" Target="https://maps.google.com/?q=18.0998604749638,-96.161498671511097" TargetMode="External"/><Relationship Id="rId53" Type="http://schemas.openxmlformats.org/officeDocument/2006/relationships/hyperlink" Target="https://maps.google.com/?q=16.9791880950633,-96.8900815408266" TargetMode="External"/><Relationship Id="rId1207" Type="http://schemas.openxmlformats.org/officeDocument/2006/relationships/hyperlink" Target="https://maps.google.com/?q=17.104198,%20-96.777330" TargetMode="External"/><Relationship Id="rId1414" Type="http://schemas.openxmlformats.org/officeDocument/2006/relationships/hyperlink" Target="https://maps.google.com/?q=16.78854776,-96.915234240000004" TargetMode="External"/><Relationship Id="rId1621" Type="http://schemas.openxmlformats.org/officeDocument/2006/relationships/hyperlink" Target="https://maps.google.com/?q=17.251388,-97.811126" TargetMode="External"/><Relationship Id="rId1859" Type="http://schemas.openxmlformats.org/officeDocument/2006/relationships/hyperlink" Target="https://maps.google.com/?q=17.852884,-97.194815" TargetMode="External"/><Relationship Id="rId3074" Type="http://schemas.openxmlformats.org/officeDocument/2006/relationships/hyperlink" Target="https://maps.google.com/?q=16.4299949720784,-95.030335951176497" TargetMode="External"/><Relationship Id="rId1719" Type="http://schemas.openxmlformats.org/officeDocument/2006/relationships/hyperlink" Target="https://maps.google.com/?q=16.788034,-96.791821999999996" TargetMode="External"/><Relationship Id="rId1926" Type="http://schemas.openxmlformats.org/officeDocument/2006/relationships/hyperlink" Target="https://maps.google.com/?q=16.433347,-95.021687" TargetMode="External"/><Relationship Id="rId3281" Type="http://schemas.openxmlformats.org/officeDocument/2006/relationships/hyperlink" Target="https://maps.google.com/?q=16.80145,-97.064476" TargetMode="External"/><Relationship Id="rId2090" Type="http://schemas.openxmlformats.org/officeDocument/2006/relationships/hyperlink" Target="https://maps.google.com/?q=17.335316,-98.012051" TargetMode="External"/><Relationship Id="rId2188" Type="http://schemas.openxmlformats.org/officeDocument/2006/relationships/hyperlink" Target="https://maps.google.com/?q=17.806621,-97.776161999999999" TargetMode="External"/><Relationship Id="rId2395" Type="http://schemas.openxmlformats.org/officeDocument/2006/relationships/hyperlink" Target="https://maps.google.com/?q=16.382765306632262,-96.845004748852702" TargetMode="External"/><Relationship Id="rId3141" Type="http://schemas.openxmlformats.org/officeDocument/2006/relationships/hyperlink" Target="https://maps.google.com/?q=16.4404023753271,-95.022001113746697" TargetMode="External"/><Relationship Id="rId3239" Type="http://schemas.openxmlformats.org/officeDocument/2006/relationships/hyperlink" Target="https://maps.google.com/?q=17.331248,-96.487900999999994" TargetMode="External"/><Relationship Id="rId367" Type="http://schemas.openxmlformats.org/officeDocument/2006/relationships/hyperlink" Target="https://maps.google.com/?q=16.500451,-97.780662000000007" TargetMode="External"/><Relationship Id="rId574" Type="http://schemas.openxmlformats.org/officeDocument/2006/relationships/hyperlink" Target="https://maps.google.com/?q=17.177269627839,-98.194877599999998" TargetMode="External"/><Relationship Id="rId2048" Type="http://schemas.openxmlformats.org/officeDocument/2006/relationships/hyperlink" Target="https://maps.google.com/?q=16.519807,-96.983885000000001" TargetMode="External"/><Relationship Id="rId2255" Type="http://schemas.openxmlformats.org/officeDocument/2006/relationships/hyperlink" Target="https://maps.google.com/?q=16.332014,-95.231966" TargetMode="External"/><Relationship Id="rId3001" Type="http://schemas.openxmlformats.org/officeDocument/2006/relationships/hyperlink" Target="https://maps.google.com/?q=16.4223592404419,-95.027620910196205" TargetMode="External"/><Relationship Id="rId227" Type="http://schemas.openxmlformats.org/officeDocument/2006/relationships/hyperlink" Target="https://maps.google.com/?q=16.9790761384013,-97.055203320641695" TargetMode="External"/><Relationship Id="rId781" Type="http://schemas.openxmlformats.org/officeDocument/2006/relationships/hyperlink" Target="https://maps.google.com/?q=16.8240736363413,-95.119921587790998" TargetMode="External"/><Relationship Id="rId879" Type="http://schemas.openxmlformats.org/officeDocument/2006/relationships/hyperlink" Target="https://maps.google.com/?q=16.714949,-94.748403999999994" TargetMode="External"/><Relationship Id="rId2462" Type="http://schemas.openxmlformats.org/officeDocument/2006/relationships/hyperlink" Target="https://maps.google.com/?q=16.384550022558184,-96.843014514151363" TargetMode="External"/><Relationship Id="rId2767" Type="http://schemas.openxmlformats.org/officeDocument/2006/relationships/hyperlink" Target="https://maps.google.com/?q=18.0838711887416,-96.167117724145598" TargetMode="External"/><Relationship Id="rId434" Type="http://schemas.openxmlformats.org/officeDocument/2006/relationships/hyperlink" Target="https://maps.google.com/?q=17.40970154,-97.013087249999998" TargetMode="External"/><Relationship Id="rId641" Type="http://schemas.openxmlformats.org/officeDocument/2006/relationships/hyperlink" Target="https://maps.google.com/?q=17.21749585,-98.190976660000004" TargetMode="External"/><Relationship Id="rId739" Type="http://schemas.openxmlformats.org/officeDocument/2006/relationships/hyperlink" Target="https://maps.google.com/?q=16.8804961234635,-95.027937000000094" TargetMode="External"/><Relationship Id="rId1064" Type="http://schemas.openxmlformats.org/officeDocument/2006/relationships/hyperlink" Target="https://maps.google.com/?q=17.380744,-96.163883999999996" TargetMode="External"/><Relationship Id="rId1271" Type="http://schemas.openxmlformats.org/officeDocument/2006/relationships/hyperlink" Target="https://maps.google.com/?q=16.78202843,-96.943185990000003" TargetMode="External"/><Relationship Id="rId1369" Type="http://schemas.openxmlformats.org/officeDocument/2006/relationships/hyperlink" Target="https://maps.google.com/?q=16.78788821,-96.897639150000003" TargetMode="External"/><Relationship Id="rId1576" Type="http://schemas.openxmlformats.org/officeDocument/2006/relationships/hyperlink" Target="https://maps.google.com/?q=16.78988787,-96.902717870000004" TargetMode="External"/><Relationship Id="rId2115" Type="http://schemas.openxmlformats.org/officeDocument/2006/relationships/hyperlink" Target="https://maps.google.com/?q=17.027131,-96.077044000000001" TargetMode="External"/><Relationship Id="rId2322" Type="http://schemas.openxmlformats.org/officeDocument/2006/relationships/hyperlink" Target="https://maps.google.com/?q=16.950706,-96.750504000000006" TargetMode="External"/><Relationship Id="rId2974" Type="http://schemas.openxmlformats.org/officeDocument/2006/relationships/hyperlink" Target="https://maps.google.com/?q=17.43252,-98.285177000000004" TargetMode="External"/><Relationship Id="rId501" Type="http://schemas.openxmlformats.org/officeDocument/2006/relationships/hyperlink" Target="https://maps.google.com/?q=17.43105156,-96.933471639999993" TargetMode="External"/><Relationship Id="rId946" Type="http://schemas.openxmlformats.org/officeDocument/2006/relationships/hyperlink" Target="https://maps.google.com/?q=16.6798052215737,-94.773920577298099" TargetMode="External"/><Relationship Id="rId1131" Type="http://schemas.openxmlformats.org/officeDocument/2006/relationships/hyperlink" Target="https://maps.google.com/?q=17.381566,-96.160472999999996" TargetMode="External"/><Relationship Id="rId1229" Type="http://schemas.openxmlformats.org/officeDocument/2006/relationships/hyperlink" Target="https://maps.google.com/?q=17.10320235,-96.774127245" TargetMode="External"/><Relationship Id="rId1783" Type="http://schemas.openxmlformats.org/officeDocument/2006/relationships/hyperlink" Target="https://maps.google.com/?q=15.7731104,-96.139480300000002" TargetMode="External"/><Relationship Id="rId1990" Type="http://schemas.openxmlformats.org/officeDocument/2006/relationships/hyperlink" Target="https://maps.google.com/?q=16.791625,-96.674999" TargetMode="External"/><Relationship Id="rId2627" Type="http://schemas.openxmlformats.org/officeDocument/2006/relationships/hyperlink" Target="https://maps.google.com/?q=17.9843867899952,-96.101580209821805" TargetMode="External"/><Relationship Id="rId2834" Type="http://schemas.openxmlformats.org/officeDocument/2006/relationships/hyperlink" Target="https://maps.google.com/?q=17.0190140818989,-97.500562317790894" TargetMode="External"/><Relationship Id="rId75" Type="http://schemas.openxmlformats.org/officeDocument/2006/relationships/hyperlink" Target="https://maps.google.com/?q=17.0167615309791,-96.872276273645397" TargetMode="External"/><Relationship Id="rId806" Type="http://schemas.openxmlformats.org/officeDocument/2006/relationships/hyperlink" Target="https://maps.google.com/?q=16.8983499186814,-95.034554382208995" TargetMode="External"/><Relationship Id="rId1436" Type="http://schemas.openxmlformats.org/officeDocument/2006/relationships/hyperlink" Target="https://maps.google.com/?q=16.78875051,-96.89309772" TargetMode="External"/><Relationship Id="rId1643" Type="http://schemas.openxmlformats.org/officeDocument/2006/relationships/hyperlink" Target="https://maps.google.com/?q=17.323419336058,-97.894460618646207" TargetMode="External"/><Relationship Id="rId1850" Type="http://schemas.openxmlformats.org/officeDocument/2006/relationships/hyperlink" Target="https://maps.google.com/?q=17.822568,-97.732645000000005" TargetMode="External"/><Relationship Id="rId2901" Type="http://schemas.openxmlformats.org/officeDocument/2006/relationships/hyperlink" Target="https://maps.google.com/?q=17.321389,-98.239156" TargetMode="External"/><Relationship Id="rId3096" Type="http://schemas.openxmlformats.org/officeDocument/2006/relationships/hyperlink" Target="https://maps.google.com/?q=16.4343946893753,-95.027536373593804" TargetMode="External"/><Relationship Id="rId1503" Type="http://schemas.openxmlformats.org/officeDocument/2006/relationships/hyperlink" Target="https://maps.google.com/?q=16.78923472,-96.898726719999999" TargetMode="External"/><Relationship Id="rId1710" Type="http://schemas.openxmlformats.org/officeDocument/2006/relationships/hyperlink" Target="https://maps.google.com/?q=17.34125704,-97.929593370000006" TargetMode="External"/><Relationship Id="rId1948" Type="http://schemas.openxmlformats.org/officeDocument/2006/relationships/hyperlink" Target="https://maps.google.com/?q=17.806621,-97.776161999999999" TargetMode="External"/><Relationship Id="rId3163" Type="http://schemas.openxmlformats.org/officeDocument/2006/relationships/hyperlink" Target="https://maps.google.com/?q=16.4485174443291,-95.006155676386001" TargetMode="External"/><Relationship Id="rId291" Type="http://schemas.openxmlformats.org/officeDocument/2006/relationships/hyperlink" Target="https://maps.google.com/?q=16.6140823836918,-97.789021177910001" TargetMode="External"/><Relationship Id="rId1808" Type="http://schemas.openxmlformats.org/officeDocument/2006/relationships/hyperlink" Target="https://maps.google.com/?q=15.7734496,-96.144139800000005" TargetMode="External"/><Relationship Id="rId3023" Type="http://schemas.openxmlformats.org/officeDocument/2006/relationships/hyperlink" Target="https://maps.google.com/?q=16.4256184513513,-95.018007746893304" TargetMode="External"/><Relationship Id="rId151" Type="http://schemas.openxmlformats.org/officeDocument/2006/relationships/hyperlink" Target="https://maps.google.com/?q=16.7808460549304,-96.579363533729605" TargetMode="External"/><Relationship Id="rId389" Type="http://schemas.openxmlformats.org/officeDocument/2006/relationships/hyperlink" Target="https://maps.google.com/?q=16.4910029361808,-97.577673674525997" TargetMode="External"/><Relationship Id="rId596" Type="http://schemas.openxmlformats.org/officeDocument/2006/relationships/hyperlink" Target="https://maps.google.com/?q=17.2714992833456,-98.278346317791403" TargetMode="External"/><Relationship Id="rId2277" Type="http://schemas.openxmlformats.org/officeDocument/2006/relationships/hyperlink" Target="https://maps.google.com/?q=17.801687,-96.959688" TargetMode="External"/><Relationship Id="rId2484" Type="http://schemas.openxmlformats.org/officeDocument/2006/relationships/hyperlink" Target="https://maps.google.com/?q=16.38502006752736,-96.844964126945356" TargetMode="External"/><Relationship Id="rId2691" Type="http://schemas.openxmlformats.org/officeDocument/2006/relationships/hyperlink" Target="https://maps.google.com/?q=18.05429,-96.146996000000001" TargetMode="External"/><Relationship Id="rId3230" Type="http://schemas.openxmlformats.org/officeDocument/2006/relationships/hyperlink" Target="https://maps.google.com/?q=16.791625,-96.674999" TargetMode="External"/><Relationship Id="rId249" Type="http://schemas.openxmlformats.org/officeDocument/2006/relationships/hyperlink" Target="https://maps.google.com/?q=16.9838626012461,-97.018739806144097" TargetMode="External"/><Relationship Id="rId456" Type="http://schemas.openxmlformats.org/officeDocument/2006/relationships/hyperlink" Target="https://maps.google.com/?q=17.413326,-96.931894999999997" TargetMode="External"/><Relationship Id="rId663" Type="http://schemas.openxmlformats.org/officeDocument/2006/relationships/hyperlink" Target="https://maps.google.com/?q=17.22255847,-98.192307920000005" TargetMode="External"/><Relationship Id="rId870" Type="http://schemas.openxmlformats.org/officeDocument/2006/relationships/hyperlink" Target="https://maps.google.com/?q=16.71469547,-94.749487819999999" TargetMode="External"/><Relationship Id="rId1086" Type="http://schemas.openxmlformats.org/officeDocument/2006/relationships/hyperlink" Target="https://maps.google.com/?q=17.381004,-96.161237" TargetMode="External"/><Relationship Id="rId1293" Type="http://schemas.openxmlformats.org/officeDocument/2006/relationships/hyperlink" Target="https://maps.google.com/?q=16.785678668738093,-96.906364610339338" TargetMode="External"/><Relationship Id="rId2137" Type="http://schemas.openxmlformats.org/officeDocument/2006/relationships/hyperlink" Target="https://maps.google.com/?q=16.500512,-96.106790000000004" TargetMode="External"/><Relationship Id="rId2344" Type="http://schemas.openxmlformats.org/officeDocument/2006/relationships/hyperlink" Target="https://maps.google.com/?q=16.279058,-97.820240999999996" TargetMode="External"/><Relationship Id="rId2551" Type="http://schemas.openxmlformats.org/officeDocument/2006/relationships/hyperlink" Target="https://maps.google.com/?q=16.386962241586705,-96.838345315966478" TargetMode="External"/><Relationship Id="rId2789" Type="http://schemas.openxmlformats.org/officeDocument/2006/relationships/hyperlink" Target="https://maps.google.com/?q=18.0891903006854,-96.172259379133294" TargetMode="External"/><Relationship Id="rId2996" Type="http://schemas.openxmlformats.org/officeDocument/2006/relationships/hyperlink" Target="https://maps.google.com/?q=16.4217867904703,-95.028602051368907" TargetMode="External"/><Relationship Id="rId109" Type="http://schemas.openxmlformats.org/officeDocument/2006/relationships/hyperlink" Target="https://maps.google.com/?q=16.9734970874631,-96.912859720237705" TargetMode="External"/><Relationship Id="rId316" Type="http://schemas.openxmlformats.org/officeDocument/2006/relationships/hyperlink" Target="https://maps.google.com/?q=16.5133559920669,-97.780829920000002" TargetMode="External"/><Relationship Id="rId523" Type="http://schemas.openxmlformats.org/officeDocument/2006/relationships/hyperlink" Target="https://maps.google.com/?q=17.1620931192983,-97.720812449073804" TargetMode="External"/><Relationship Id="rId968" Type="http://schemas.openxmlformats.org/officeDocument/2006/relationships/hyperlink" Target="https://maps.google.com/?q=17.379109,-96.161846999999995" TargetMode="External"/><Relationship Id="rId1153" Type="http://schemas.openxmlformats.org/officeDocument/2006/relationships/hyperlink" Target="https://maps.google.com/?q=17.381986,-96.161043000000006" TargetMode="External"/><Relationship Id="rId1598" Type="http://schemas.openxmlformats.org/officeDocument/2006/relationships/hyperlink" Target="https://maps.google.com/?q=16.79021619,-96.898889929999996" TargetMode="External"/><Relationship Id="rId2204" Type="http://schemas.openxmlformats.org/officeDocument/2006/relationships/hyperlink" Target="https://maps.google.com/?q=17.026216,-97.928115000000005" TargetMode="External"/><Relationship Id="rId2649" Type="http://schemas.openxmlformats.org/officeDocument/2006/relationships/hyperlink" Target="https://maps.google.com/?q=18.121533772856,-95.999139467790599" TargetMode="External"/><Relationship Id="rId2856" Type="http://schemas.openxmlformats.org/officeDocument/2006/relationships/hyperlink" Target="https://maps.google.com/?q=17.0100321554009,-97.466187069940503" TargetMode="External"/><Relationship Id="rId97" Type="http://schemas.openxmlformats.org/officeDocument/2006/relationships/hyperlink" Target="https://maps.google.com/?q=17.0120000331,-96.889231299614195" TargetMode="External"/><Relationship Id="rId730" Type="http://schemas.openxmlformats.org/officeDocument/2006/relationships/hyperlink" Target="https://maps.google.com/?q=16.8895011357225,-95.033967046626998" TargetMode="External"/><Relationship Id="rId828" Type="http://schemas.openxmlformats.org/officeDocument/2006/relationships/hyperlink" Target="https://maps.google.com/?q=16.712651,-94.745872000000006" TargetMode="External"/><Relationship Id="rId1013" Type="http://schemas.openxmlformats.org/officeDocument/2006/relationships/hyperlink" Target="https://maps.google.com/?q=17.380195,-96.160836000000003" TargetMode="External"/><Relationship Id="rId1360" Type="http://schemas.openxmlformats.org/officeDocument/2006/relationships/hyperlink" Target="https://maps.google.com/?q=16.78775445,-96.898230269999999" TargetMode="External"/><Relationship Id="rId1458" Type="http://schemas.openxmlformats.org/officeDocument/2006/relationships/hyperlink" Target="https://maps.google.com/?q=16.78893127,-96.905021039999994" TargetMode="External"/><Relationship Id="rId1665" Type="http://schemas.openxmlformats.org/officeDocument/2006/relationships/hyperlink" Target="https://maps.google.com/?q=17.2545729,-97.8853477347797" TargetMode="External"/><Relationship Id="rId1872" Type="http://schemas.openxmlformats.org/officeDocument/2006/relationships/hyperlink" Target="https://maps.google.com/?q=16.950706,-96.750504000000006" TargetMode="External"/><Relationship Id="rId2411" Type="http://schemas.openxmlformats.org/officeDocument/2006/relationships/hyperlink" Target="https://maps.google.com/?q=16.383423853383754,-96.843661391120335" TargetMode="External"/><Relationship Id="rId2509" Type="http://schemas.openxmlformats.org/officeDocument/2006/relationships/hyperlink" Target="https://maps.google.com/?q=16.38547600646911,-96.839999152827161" TargetMode="External"/><Relationship Id="rId2716" Type="http://schemas.openxmlformats.org/officeDocument/2006/relationships/hyperlink" Target="https://maps.google.com/?q=18.0618674521003,-96.148000224537" TargetMode="External"/><Relationship Id="rId1220" Type="http://schemas.openxmlformats.org/officeDocument/2006/relationships/hyperlink" Target="https://maps.google.com/?q=17.100906865,-96.771909983" TargetMode="External"/><Relationship Id="rId1318" Type="http://schemas.openxmlformats.org/officeDocument/2006/relationships/hyperlink" Target="https://maps.google.com/?q=16.78684732,-96.910472780000006" TargetMode="External"/><Relationship Id="rId1525" Type="http://schemas.openxmlformats.org/officeDocument/2006/relationships/hyperlink" Target="https://maps.google.com/?q=16.78938624,-96.90449658" TargetMode="External"/><Relationship Id="rId2923" Type="http://schemas.openxmlformats.org/officeDocument/2006/relationships/hyperlink" Target="https://maps.google.com/?q=17.3369128476785,-98.1726309680881" TargetMode="External"/><Relationship Id="rId1732" Type="http://schemas.openxmlformats.org/officeDocument/2006/relationships/hyperlink" Target="https://maps.google.com/?q=16.327512842799102,-96.58634539384842" TargetMode="External"/><Relationship Id="rId3185" Type="http://schemas.openxmlformats.org/officeDocument/2006/relationships/hyperlink" Target="https://maps.google.com/?q=18.185480922104915,-96.91421831553923" TargetMode="External"/><Relationship Id="rId24" Type="http://schemas.openxmlformats.org/officeDocument/2006/relationships/hyperlink" Target="https://maps.google.com/?q=15.98648784,-95.672776990000003" TargetMode="External"/><Relationship Id="rId2299" Type="http://schemas.openxmlformats.org/officeDocument/2006/relationships/hyperlink" Target="https://maps.google.com/?q=17.331248,-96.487900999999994" TargetMode="External"/><Relationship Id="rId3045" Type="http://schemas.openxmlformats.org/officeDocument/2006/relationships/hyperlink" Target="https://maps.google.com/?q=16.4270593612284,-95.018998957089806" TargetMode="External"/><Relationship Id="rId3252" Type="http://schemas.openxmlformats.org/officeDocument/2006/relationships/hyperlink" Target="https://maps.google.com/?q=17.189006,-96.856016" TargetMode="External"/><Relationship Id="rId173" Type="http://schemas.openxmlformats.org/officeDocument/2006/relationships/hyperlink" Target="https://maps.google.com/?q=16.7824417670931,-96.580358396329899" TargetMode="External"/><Relationship Id="rId380" Type="http://schemas.openxmlformats.org/officeDocument/2006/relationships/hyperlink" Target="https://maps.google.com/?q=16.488683,-97.578610999999995" TargetMode="External"/><Relationship Id="rId2061" Type="http://schemas.openxmlformats.org/officeDocument/2006/relationships/hyperlink" Target="https://maps.google.com/?q=17.33873,-96.152553999999995" TargetMode="External"/><Relationship Id="rId3112" Type="http://schemas.openxmlformats.org/officeDocument/2006/relationships/hyperlink" Target="https://maps.google.com/?q=16.4382100345831,-95.015414662213004" TargetMode="External"/><Relationship Id="rId240" Type="http://schemas.openxmlformats.org/officeDocument/2006/relationships/hyperlink" Target="https://maps.google.com/?q=17.1076111009445,-96.967592458820306" TargetMode="External"/><Relationship Id="rId478" Type="http://schemas.openxmlformats.org/officeDocument/2006/relationships/hyperlink" Target="https://maps.google.com/?q=17.42375489,-97.009987580000001" TargetMode="External"/><Relationship Id="rId685" Type="http://schemas.openxmlformats.org/officeDocument/2006/relationships/hyperlink" Target="https://maps.google.com/?q=17.257572087673,-98.262666519014402" TargetMode="External"/><Relationship Id="rId892" Type="http://schemas.openxmlformats.org/officeDocument/2006/relationships/hyperlink" Target="https://maps.google.com/?q=16.71558,-94.745884000000004" TargetMode="External"/><Relationship Id="rId2159" Type="http://schemas.openxmlformats.org/officeDocument/2006/relationships/hyperlink" Target="https://maps.google.com/?q=18.081169,-96.118475000000004" TargetMode="External"/><Relationship Id="rId2366" Type="http://schemas.openxmlformats.org/officeDocument/2006/relationships/hyperlink" Target="https://maps.google.com/?q=17.511838,-97.488547999999994" TargetMode="External"/><Relationship Id="rId2573" Type="http://schemas.openxmlformats.org/officeDocument/2006/relationships/hyperlink" Target="https://maps.google.com/?q=16.38755488252034,-96.837954734597446" TargetMode="External"/><Relationship Id="rId2780" Type="http://schemas.openxmlformats.org/officeDocument/2006/relationships/hyperlink" Target="https://maps.google.com/?q=18.0853773834005,-96.168315304652594" TargetMode="External"/><Relationship Id="rId100" Type="http://schemas.openxmlformats.org/officeDocument/2006/relationships/hyperlink" Target="https://maps.google.com/?q=17.0123735404288,-96.888940360435896" TargetMode="External"/><Relationship Id="rId338" Type="http://schemas.openxmlformats.org/officeDocument/2006/relationships/hyperlink" Target="https://maps.google.com/?q=16.5183388601432,-97.779571000000004" TargetMode="External"/><Relationship Id="rId545" Type="http://schemas.openxmlformats.org/officeDocument/2006/relationships/hyperlink" Target="https://maps.google.com/?q=17.1854617535579,-97.723887317790997" TargetMode="External"/><Relationship Id="rId752" Type="http://schemas.openxmlformats.org/officeDocument/2006/relationships/hyperlink" Target="https://maps.google.com/?q=16.8177909971816,-95.118376634254602" TargetMode="External"/><Relationship Id="rId1175" Type="http://schemas.openxmlformats.org/officeDocument/2006/relationships/hyperlink" Target="https://maps.google.com/?q=17.383386,-96.161799999999999" TargetMode="External"/><Relationship Id="rId1382" Type="http://schemas.openxmlformats.org/officeDocument/2006/relationships/hyperlink" Target="https://maps.google.com/?q=16.78804784,-96.896251250000006" TargetMode="External"/><Relationship Id="rId2019" Type="http://schemas.openxmlformats.org/officeDocument/2006/relationships/hyperlink" Target="https://maps.google.com/?q=16.564244,-96.731829000000005" TargetMode="External"/><Relationship Id="rId2226" Type="http://schemas.openxmlformats.org/officeDocument/2006/relationships/hyperlink" Target="https://maps.google.com/?q=16.433347,-95.021687" TargetMode="External"/><Relationship Id="rId2433" Type="http://schemas.openxmlformats.org/officeDocument/2006/relationships/hyperlink" Target="https://maps.google.com/?q=16.384047344999818,-96.83963905097707" TargetMode="External"/><Relationship Id="rId2640" Type="http://schemas.openxmlformats.org/officeDocument/2006/relationships/hyperlink" Target="https://maps.google.com/?q=17.9910941726835,-96.102411418040006" TargetMode="External"/><Relationship Id="rId2878" Type="http://schemas.openxmlformats.org/officeDocument/2006/relationships/hyperlink" Target="https://maps.google.com/?q=16.9975449027067,-97.511205846627107" TargetMode="External"/><Relationship Id="rId405" Type="http://schemas.openxmlformats.org/officeDocument/2006/relationships/hyperlink" Target="https://maps.google.com/?q=17.39991031,-96.927973359999996" TargetMode="External"/><Relationship Id="rId612" Type="http://schemas.openxmlformats.org/officeDocument/2006/relationships/hyperlink" Target="https://maps.google.com/?q=17.2738485639455,-98.278692000000007" TargetMode="External"/><Relationship Id="rId1035" Type="http://schemas.openxmlformats.org/officeDocument/2006/relationships/hyperlink" Target="https://maps.google.com/?q=17.380406,-96.161299999999997" TargetMode="External"/><Relationship Id="rId1242" Type="http://schemas.openxmlformats.org/officeDocument/2006/relationships/hyperlink" Target="https://maps.google.com/?q=16.77983087,-96.952539939999994" TargetMode="External"/><Relationship Id="rId1687" Type="http://schemas.openxmlformats.org/officeDocument/2006/relationships/hyperlink" Target="https://maps.google.com/?q=17.3996428144798,-97.919478057532899" TargetMode="External"/><Relationship Id="rId1894" Type="http://schemas.openxmlformats.org/officeDocument/2006/relationships/hyperlink" Target="https://maps.google.com/?q=16.328751,-96.596529000000004" TargetMode="External"/><Relationship Id="rId2500" Type="http://schemas.openxmlformats.org/officeDocument/2006/relationships/hyperlink" Target="https://maps.google.com/?q=16.385323792414813,-96.837499119188422" TargetMode="External"/><Relationship Id="rId2738" Type="http://schemas.openxmlformats.org/officeDocument/2006/relationships/hyperlink" Target="https://maps.google.com/?q=18.0752,-96.173090000000002" TargetMode="External"/><Relationship Id="rId2945" Type="http://schemas.openxmlformats.org/officeDocument/2006/relationships/hyperlink" Target="https://maps.google.com/?q=17.42832,-98.289269000000004" TargetMode="External"/><Relationship Id="rId917" Type="http://schemas.openxmlformats.org/officeDocument/2006/relationships/hyperlink" Target="https://maps.google.com/?q=16.6733493078888,-94.777679720972998" TargetMode="External"/><Relationship Id="rId1102" Type="http://schemas.openxmlformats.org/officeDocument/2006/relationships/hyperlink" Target="https://maps.google.com/?q=17.381138,-96.160405999999995" TargetMode="External"/><Relationship Id="rId1547" Type="http://schemas.openxmlformats.org/officeDocument/2006/relationships/hyperlink" Target="https://maps.google.com/?q=16.78965332,-96.894393859999994" TargetMode="External"/><Relationship Id="rId1754" Type="http://schemas.openxmlformats.org/officeDocument/2006/relationships/hyperlink" Target="https://maps.google.com/?q=17.307396,-96.898726999999994" TargetMode="External"/><Relationship Id="rId1961" Type="http://schemas.openxmlformats.org/officeDocument/2006/relationships/hyperlink" Target="https://maps.google.com/?q=16.866371,-96.785623000000001" TargetMode="External"/><Relationship Id="rId2805" Type="http://schemas.openxmlformats.org/officeDocument/2006/relationships/hyperlink" Target="https://maps.google.com/?q=18.0985651256139,-96.160620965029807" TargetMode="External"/><Relationship Id="rId46" Type="http://schemas.openxmlformats.org/officeDocument/2006/relationships/hyperlink" Target="https://maps.google.com/?q=16.9776805068259,-96.891425258249001" TargetMode="External"/><Relationship Id="rId1407" Type="http://schemas.openxmlformats.org/officeDocument/2006/relationships/hyperlink" Target="https://maps.google.com/?q=16.78846271,-96.899228980000004" TargetMode="External"/><Relationship Id="rId1614" Type="http://schemas.openxmlformats.org/officeDocument/2006/relationships/hyperlink" Target="https://maps.google.com/?q=17.102231008238675,-96.712527094417325" TargetMode="External"/><Relationship Id="rId1821" Type="http://schemas.openxmlformats.org/officeDocument/2006/relationships/hyperlink" Target="https://maps.google.com/?q=15.7739207,-96.142915200000004" TargetMode="External"/><Relationship Id="rId3067" Type="http://schemas.openxmlformats.org/officeDocument/2006/relationships/hyperlink" Target="https://maps.google.com/?q=16.429276179587,-95.027672672860604" TargetMode="External"/><Relationship Id="rId3274" Type="http://schemas.openxmlformats.org/officeDocument/2006/relationships/hyperlink" Target="https://maps.google.com/?q=18.119229,-97.084852" TargetMode="External"/><Relationship Id="rId195" Type="http://schemas.openxmlformats.org/officeDocument/2006/relationships/hyperlink" Target="https://maps.google.com/?q=16.7836854732438,-96.578863519014405" TargetMode="External"/><Relationship Id="rId1919" Type="http://schemas.openxmlformats.org/officeDocument/2006/relationships/hyperlink" Target="https://maps.google.com/?q=18.081169,-96.118475000000004" TargetMode="External"/><Relationship Id="rId2083" Type="http://schemas.openxmlformats.org/officeDocument/2006/relationships/hyperlink" Target="https://maps.google.com/?q=16.95558,-96.479206000000005" TargetMode="External"/><Relationship Id="rId2290" Type="http://schemas.openxmlformats.org/officeDocument/2006/relationships/hyperlink" Target="https://maps.google.com/?q=16.791625,-96.674999" TargetMode="External"/><Relationship Id="rId2388" Type="http://schemas.openxmlformats.org/officeDocument/2006/relationships/hyperlink" Target="https://maps.google.com/?q=16.3822036895707,-96.845478870156754" TargetMode="External"/><Relationship Id="rId2595" Type="http://schemas.openxmlformats.org/officeDocument/2006/relationships/hyperlink" Target="https://maps.google.com/?q=16.394886329593295,-96.844009273606403" TargetMode="External"/><Relationship Id="rId3134" Type="http://schemas.openxmlformats.org/officeDocument/2006/relationships/hyperlink" Target="https://maps.google.com/?q=16.4397308271051,-95.020693602720101" TargetMode="External"/><Relationship Id="rId262" Type="http://schemas.openxmlformats.org/officeDocument/2006/relationships/hyperlink" Target="https://maps.google.com/?q=16.9723167398079,-97.031521055689595" TargetMode="External"/><Relationship Id="rId567" Type="http://schemas.openxmlformats.org/officeDocument/2006/relationships/hyperlink" Target="https://maps.google.com/?q=17.1759377495126,-98.195228215938599" TargetMode="External"/><Relationship Id="rId1197" Type="http://schemas.openxmlformats.org/officeDocument/2006/relationships/hyperlink" Target="https://maps.google.com/?q=17.103546,%20-96.774551" TargetMode="External"/><Relationship Id="rId2150" Type="http://schemas.openxmlformats.org/officeDocument/2006/relationships/hyperlink" Target="https://maps.google.com/?q=17.335316,-98.012051" TargetMode="External"/><Relationship Id="rId2248" Type="http://schemas.openxmlformats.org/officeDocument/2006/relationships/hyperlink" Target="https://maps.google.com/?q=17.806621,-97.776161999999999" TargetMode="External"/><Relationship Id="rId3201" Type="http://schemas.openxmlformats.org/officeDocument/2006/relationships/hyperlink" Target="https://maps.google.com/?q=16.866371,-96.785623000000001" TargetMode="External"/><Relationship Id="rId122" Type="http://schemas.openxmlformats.org/officeDocument/2006/relationships/hyperlink" Target="https://maps.google.com/?q=16.7756985299902,-96.584257586473598" TargetMode="External"/><Relationship Id="rId774" Type="http://schemas.openxmlformats.org/officeDocument/2006/relationships/hyperlink" Target="https://maps.google.com/?q=16.8231156070462,-95.118037212120001" TargetMode="External"/><Relationship Id="rId981" Type="http://schemas.openxmlformats.org/officeDocument/2006/relationships/hyperlink" Target="https://maps.google.com/?q=17.379739,-96.159664000000006" TargetMode="External"/><Relationship Id="rId1057" Type="http://schemas.openxmlformats.org/officeDocument/2006/relationships/hyperlink" Target="https://maps.google.com/?q=17.380625,-96.160092000000006" TargetMode="External"/><Relationship Id="rId2010" Type="http://schemas.openxmlformats.org/officeDocument/2006/relationships/hyperlink" Target="https://maps.google.com/?q=18.13222,-97.070751000000001" TargetMode="External"/><Relationship Id="rId2455" Type="http://schemas.openxmlformats.org/officeDocument/2006/relationships/hyperlink" Target="https://maps.google.com/?q=16.384451121521444,-96.844064057636444" TargetMode="External"/><Relationship Id="rId2662" Type="http://schemas.openxmlformats.org/officeDocument/2006/relationships/hyperlink" Target="https://maps.google.com/?q=18.0293257730181,-96.156304555784502" TargetMode="External"/><Relationship Id="rId427" Type="http://schemas.openxmlformats.org/officeDocument/2006/relationships/hyperlink" Target="https://maps.google.com/?q=17.40854387,-97.012536420000004" TargetMode="External"/><Relationship Id="rId634" Type="http://schemas.openxmlformats.org/officeDocument/2006/relationships/hyperlink" Target="https://maps.google.com/?q=17.2799955638611,-98.282073999999994" TargetMode="External"/><Relationship Id="rId841" Type="http://schemas.openxmlformats.org/officeDocument/2006/relationships/hyperlink" Target="https://maps.google.com/?q=16.713283,-94.749337999999995" TargetMode="External"/><Relationship Id="rId1264" Type="http://schemas.openxmlformats.org/officeDocument/2006/relationships/hyperlink" Target="https://maps.google.com/?q=16.78165315,-96.944475449999999" TargetMode="External"/><Relationship Id="rId1471" Type="http://schemas.openxmlformats.org/officeDocument/2006/relationships/hyperlink" Target="https://maps.google.com/?q=16.78905666,-96.894007200000004" TargetMode="External"/><Relationship Id="rId1569" Type="http://schemas.openxmlformats.org/officeDocument/2006/relationships/hyperlink" Target="https://maps.google.com/?q=16.78982353,-96.904209789999996" TargetMode="External"/><Relationship Id="rId2108" Type="http://schemas.openxmlformats.org/officeDocument/2006/relationships/hyperlink" Target="https://maps.google.com/?q=16.519807,-96.983885000000001" TargetMode="External"/><Relationship Id="rId2315" Type="http://schemas.openxmlformats.org/officeDocument/2006/relationships/hyperlink" Target="https://maps.google.com/?q=16.332014,-95.231966" TargetMode="External"/><Relationship Id="rId2522" Type="http://schemas.openxmlformats.org/officeDocument/2006/relationships/hyperlink" Target="https://maps.google.com/?q=16.38582638956513,-96.839955308852794" TargetMode="External"/><Relationship Id="rId2967" Type="http://schemas.openxmlformats.org/officeDocument/2006/relationships/hyperlink" Target="https://maps.google.com/?q=17.43132,-98.290934199999995" TargetMode="External"/><Relationship Id="rId701" Type="http://schemas.openxmlformats.org/officeDocument/2006/relationships/hyperlink" Target="https://maps.google.com/?q=17.259121721993,-98.262187976686505" TargetMode="External"/><Relationship Id="rId939" Type="http://schemas.openxmlformats.org/officeDocument/2006/relationships/hyperlink" Target="https://maps.google.com/?q=16.6781491001771,-94.774807617629193" TargetMode="External"/><Relationship Id="rId1124" Type="http://schemas.openxmlformats.org/officeDocument/2006/relationships/hyperlink" Target="https://maps.google.com/?q=17.381502,-96.165103999999999" TargetMode="External"/><Relationship Id="rId1331" Type="http://schemas.openxmlformats.org/officeDocument/2006/relationships/hyperlink" Target="https://maps.google.com/?q=16.78706819,-96.908059750000007" TargetMode="External"/><Relationship Id="rId1776" Type="http://schemas.openxmlformats.org/officeDocument/2006/relationships/hyperlink" Target="https://maps.google.com/?q=15.7730187,-96.140411700000001" TargetMode="External"/><Relationship Id="rId1983" Type="http://schemas.openxmlformats.org/officeDocument/2006/relationships/hyperlink" Target="https://maps.google.com/?q=16.279058,-97.820240999999996" TargetMode="External"/><Relationship Id="rId2827" Type="http://schemas.openxmlformats.org/officeDocument/2006/relationships/hyperlink" Target="https://maps.google.com/?q=17.0156994379154,-97.497062271163998" TargetMode="External"/><Relationship Id="rId68" Type="http://schemas.openxmlformats.org/officeDocument/2006/relationships/hyperlink" Target="https://maps.google.com/?q=16.9835095450914,-96.8903604723873" TargetMode="External"/><Relationship Id="rId1429" Type="http://schemas.openxmlformats.org/officeDocument/2006/relationships/hyperlink" Target="https://maps.google.com/?q=16.78868748,-96.917864059999999" TargetMode="External"/><Relationship Id="rId1636" Type="http://schemas.openxmlformats.org/officeDocument/2006/relationships/hyperlink" Target="https://maps.google.com/?q=17.24811685,-97.799692840000006" TargetMode="External"/><Relationship Id="rId1843" Type="http://schemas.openxmlformats.org/officeDocument/2006/relationships/hyperlink" Target="https://maps.google.com/?q=18.197003397433214,-97.67594452646429" TargetMode="External"/><Relationship Id="rId3089" Type="http://schemas.openxmlformats.org/officeDocument/2006/relationships/hyperlink" Target="https://maps.google.com/?q=16.4325683273818,-95.013634770730803" TargetMode="External"/><Relationship Id="rId1703" Type="http://schemas.openxmlformats.org/officeDocument/2006/relationships/hyperlink" Target="https://maps.google.com/?q=17.3114857620646,-97.944024921461093" TargetMode="External"/><Relationship Id="rId1910" Type="http://schemas.openxmlformats.org/officeDocument/2006/relationships/hyperlink" Target="https://maps.google.com/?q=17.335316,-98.012051" TargetMode="External"/><Relationship Id="rId3156" Type="http://schemas.openxmlformats.org/officeDocument/2006/relationships/hyperlink" Target="https://maps.google.com/?q=16.4446416992879,-95.0181599289171" TargetMode="External"/><Relationship Id="rId284" Type="http://schemas.openxmlformats.org/officeDocument/2006/relationships/hyperlink" Target="https://maps.google.com/?q=16.6123541472194,-97.786193728836196" TargetMode="External"/><Relationship Id="rId491" Type="http://schemas.openxmlformats.org/officeDocument/2006/relationships/hyperlink" Target="https://maps.google.com/?q=17.29207438,-96.904964199999995" TargetMode="External"/><Relationship Id="rId2172" Type="http://schemas.openxmlformats.org/officeDocument/2006/relationships/hyperlink" Target="https://maps.google.com/?q=16.950706,-96.750504000000006" TargetMode="External"/><Relationship Id="rId3016" Type="http://schemas.openxmlformats.org/officeDocument/2006/relationships/hyperlink" Target="https://maps.google.com/?q=16.42507444,-95.017180909999993" TargetMode="External"/><Relationship Id="rId3223" Type="http://schemas.openxmlformats.org/officeDocument/2006/relationships/hyperlink" Target="https://maps.google.com/?q=16.279058,-97.820240999999996" TargetMode="External"/><Relationship Id="rId144" Type="http://schemas.openxmlformats.org/officeDocument/2006/relationships/hyperlink" Target="https://maps.google.com/?q=16.7805883898177,-96.582694251437402" TargetMode="External"/><Relationship Id="rId589" Type="http://schemas.openxmlformats.org/officeDocument/2006/relationships/hyperlink" Target="https://maps.google.com/?q=17.2710586503138,-98.277438794333506" TargetMode="External"/><Relationship Id="rId796" Type="http://schemas.openxmlformats.org/officeDocument/2006/relationships/hyperlink" Target="https://maps.google.com/?q=16.8936815343704,-95.036263550926094" TargetMode="External"/><Relationship Id="rId2477" Type="http://schemas.openxmlformats.org/officeDocument/2006/relationships/hyperlink" Target="https://maps.google.com/?q=16.384827098938466,-96.836998716970498" TargetMode="External"/><Relationship Id="rId2684" Type="http://schemas.openxmlformats.org/officeDocument/2006/relationships/hyperlink" Target="https://maps.google.com/?q=18.052561,-96.139223999999999" TargetMode="External"/><Relationship Id="rId351" Type="http://schemas.openxmlformats.org/officeDocument/2006/relationships/hyperlink" Target="https://maps.google.com/?q=16.499306962239,-97.780803755537804" TargetMode="External"/><Relationship Id="rId449" Type="http://schemas.openxmlformats.org/officeDocument/2006/relationships/hyperlink" Target="https://maps.google.com/?q=17.41301024,-96.931923889999993" TargetMode="External"/><Relationship Id="rId656" Type="http://schemas.openxmlformats.org/officeDocument/2006/relationships/hyperlink" Target="https://maps.google.com/?q=17.22192641,-98.19351734" TargetMode="External"/><Relationship Id="rId863" Type="http://schemas.openxmlformats.org/officeDocument/2006/relationships/hyperlink" Target="https://maps.google.com/?q=16.714346,-94.746786999999998" TargetMode="External"/><Relationship Id="rId1079" Type="http://schemas.openxmlformats.org/officeDocument/2006/relationships/hyperlink" Target="https://maps.google.com/?q=17.380916,-96.164332999999999" TargetMode="External"/><Relationship Id="rId1286" Type="http://schemas.openxmlformats.org/officeDocument/2006/relationships/hyperlink" Target="https://maps.google.com/?q=16.78307587,-96.940869120000002" TargetMode="External"/><Relationship Id="rId1493" Type="http://schemas.openxmlformats.org/officeDocument/2006/relationships/hyperlink" Target="https://maps.google.com/?q=16.78917083,-96.918949830000003" TargetMode="External"/><Relationship Id="rId2032" Type="http://schemas.openxmlformats.org/officeDocument/2006/relationships/hyperlink" Target="https://maps.google.com/?q=17.361766,-95.922253999999995" TargetMode="External"/><Relationship Id="rId2337" Type="http://schemas.openxmlformats.org/officeDocument/2006/relationships/hyperlink" Target="https://maps.google.com/?q=17.801687,-96.959688" TargetMode="External"/><Relationship Id="rId2544" Type="http://schemas.openxmlformats.org/officeDocument/2006/relationships/hyperlink" Target="https://maps.google.com/?q=16.386677477567726,-96.836308902058263" TargetMode="External"/><Relationship Id="rId2891" Type="http://schemas.openxmlformats.org/officeDocument/2006/relationships/hyperlink" Target="https://maps.google.com/?q=17.320164,%20-98.239058" TargetMode="External"/><Relationship Id="rId2989" Type="http://schemas.openxmlformats.org/officeDocument/2006/relationships/hyperlink" Target="https://maps.google.com/?q=16.417151397625,-95.015091351200795" TargetMode="External"/><Relationship Id="rId211" Type="http://schemas.openxmlformats.org/officeDocument/2006/relationships/hyperlink" Target="https://maps.google.com/?q=16.7849486439482,-96.584438635582103" TargetMode="External"/><Relationship Id="rId309" Type="http://schemas.openxmlformats.org/officeDocument/2006/relationships/hyperlink" Target="https://maps.google.com/?q=16.6177598622369,-97.789561682208998" TargetMode="External"/><Relationship Id="rId516" Type="http://schemas.openxmlformats.org/officeDocument/2006/relationships/hyperlink" Target="https://maps.google.com/?q=17.1515854261701,-97.742643191471402" TargetMode="External"/><Relationship Id="rId1146" Type="http://schemas.openxmlformats.org/officeDocument/2006/relationships/hyperlink" Target="https://maps.google.com/?q=17.381865,-96.162350000000004" TargetMode="External"/><Relationship Id="rId1798" Type="http://schemas.openxmlformats.org/officeDocument/2006/relationships/hyperlink" Target="https://maps.google.com/?q=15.7732574,-96.141959499999999" TargetMode="External"/><Relationship Id="rId2751" Type="http://schemas.openxmlformats.org/officeDocument/2006/relationships/hyperlink" Target="https://maps.google.com/?q=18.081417429462,-96.174821673610793" TargetMode="External"/><Relationship Id="rId2849" Type="http://schemas.openxmlformats.org/officeDocument/2006/relationships/hyperlink" Target="https://maps.google.com/?q=17.0395857671804,-97.510114435581698" TargetMode="External"/><Relationship Id="rId723" Type="http://schemas.openxmlformats.org/officeDocument/2006/relationships/hyperlink" Target="https://maps.google.com/?q=17.2630377220209,-98.263874341104497" TargetMode="External"/><Relationship Id="rId930" Type="http://schemas.openxmlformats.org/officeDocument/2006/relationships/hyperlink" Target="https://maps.google.com/?q=16.6749224438563,-94.775689664932202" TargetMode="External"/><Relationship Id="rId1006" Type="http://schemas.openxmlformats.org/officeDocument/2006/relationships/hyperlink" Target="https://maps.google.com/?q=17.380067,-96.160132000000004" TargetMode="External"/><Relationship Id="rId1353" Type="http://schemas.openxmlformats.org/officeDocument/2006/relationships/hyperlink" Target="https://maps.google.com/?q=16.78759441,-96.91565353" TargetMode="External"/><Relationship Id="rId1560" Type="http://schemas.openxmlformats.org/officeDocument/2006/relationships/hyperlink" Target="https://maps.google.com/?q=16.78977389,-96.897415240000001" TargetMode="External"/><Relationship Id="rId1658" Type="http://schemas.openxmlformats.org/officeDocument/2006/relationships/hyperlink" Target="https://maps.google.com/?q=17.335847,-97.880599000000004" TargetMode="External"/><Relationship Id="rId1865" Type="http://schemas.openxmlformats.org/officeDocument/2006/relationships/hyperlink" Target="https://maps.google.com/?q=16.332014,-95.231966" TargetMode="External"/><Relationship Id="rId2404" Type="http://schemas.openxmlformats.org/officeDocument/2006/relationships/hyperlink" Target="https://maps.google.com/?q=16.383125736957904,-96.838008754883731" TargetMode="External"/><Relationship Id="rId2611" Type="http://schemas.openxmlformats.org/officeDocument/2006/relationships/hyperlink" Target="https://maps.google.com/?q=17.196105,-97.725819" TargetMode="External"/><Relationship Id="rId2709" Type="http://schemas.openxmlformats.org/officeDocument/2006/relationships/hyperlink" Target="https://maps.google.com/?q=18.0609112040509,-96.1453400294305" TargetMode="External"/><Relationship Id="rId1213" Type="http://schemas.openxmlformats.org/officeDocument/2006/relationships/hyperlink" Target="https://maps.google.com/?q=17.104508,%20-96.778550" TargetMode="External"/><Relationship Id="rId1420" Type="http://schemas.openxmlformats.org/officeDocument/2006/relationships/hyperlink" Target="https://maps.google.com/?q=16.78860374,-96.915041040000006" TargetMode="External"/><Relationship Id="rId1518" Type="http://schemas.openxmlformats.org/officeDocument/2006/relationships/hyperlink" Target="https://maps.google.com/?q=16.78934798,-96.893530819999995" TargetMode="External"/><Relationship Id="rId2916" Type="http://schemas.openxmlformats.org/officeDocument/2006/relationships/hyperlink" Target="https://maps.google.com/?q=17.334071,-98.167238999999995" TargetMode="External"/><Relationship Id="rId3080" Type="http://schemas.openxmlformats.org/officeDocument/2006/relationships/hyperlink" Target="https://maps.google.com/?q=16.4304468273691,-95.018560949798498" TargetMode="External"/><Relationship Id="rId1725" Type="http://schemas.openxmlformats.org/officeDocument/2006/relationships/hyperlink" Target="https://maps.google.com/?q=16.788447,-96.790976999999998" TargetMode="External"/><Relationship Id="rId1932" Type="http://schemas.openxmlformats.org/officeDocument/2006/relationships/hyperlink" Target="https://maps.google.com/?q=16.950706,-96.750504000000006" TargetMode="External"/><Relationship Id="rId3178" Type="http://schemas.openxmlformats.org/officeDocument/2006/relationships/hyperlink" Target="https://maps.google.com/?q=16.4572301610575,-95.0150339312558" TargetMode="External"/><Relationship Id="rId17" Type="http://schemas.openxmlformats.org/officeDocument/2006/relationships/hyperlink" Target="https://maps.google.com/?q=15.98061411,-95.675281740000003" TargetMode="External"/><Relationship Id="rId2194" Type="http://schemas.openxmlformats.org/officeDocument/2006/relationships/hyperlink" Target="https://maps.google.com/?q=16.328751,-96.596529000000004" TargetMode="External"/><Relationship Id="rId3038" Type="http://schemas.openxmlformats.org/officeDocument/2006/relationships/hyperlink" Target="https://maps.google.com/?q=16.4263577129737,-95.029854349700997" TargetMode="External"/><Relationship Id="rId3245" Type="http://schemas.openxmlformats.org/officeDocument/2006/relationships/hyperlink" Target="https://maps.google.com/?q=17.511838,-97.488547999999994" TargetMode="External"/><Relationship Id="rId166" Type="http://schemas.openxmlformats.org/officeDocument/2006/relationships/hyperlink" Target="https://maps.google.com/?q=16.7821590130926,-96.581351368160298" TargetMode="External"/><Relationship Id="rId373" Type="http://schemas.openxmlformats.org/officeDocument/2006/relationships/hyperlink" Target="https://maps.google.com/?q=16.5008158822213,-97.780615817127" TargetMode="External"/><Relationship Id="rId580" Type="http://schemas.openxmlformats.org/officeDocument/2006/relationships/hyperlink" Target="https://maps.google.com/?q=17.1811286627262,-98.197554053907893" TargetMode="External"/><Relationship Id="rId2054" Type="http://schemas.openxmlformats.org/officeDocument/2006/relationships/hyperlink" Target="https://maps.google.com/?q=17.026216,-97.928115000000005" TargetMode="External"/><Relationship Id="rId2261" Type="http://schemas.openxmlformats.org/officeDocument/2006/relationships/hyperlink" Target="https://maps.google.com/?q=16.866371,-96.785623000000001" TargetMode="External"/><Relationship Id="rId2499" Type="http://schemas.openxmlformats.org/officeDocument/2006/relationships/hyperlink" Target="https://maps.google.com/?q=16.385320416800646,-96.838063581673794" TargetMode="External"/><Relationship Id="rId3105" Type="http://schemas.openxmlformats.org/officeDocument/2006/relationships/hyperlink" Target="https://maps.google.com/?q=16.4368631828804,-95.025790599920199" TargetMode="External"/><Relationship Id="rId1" Type="http://schemas.openxmlformats.org/officeDocument/2006/relationships/hyperlink" Target="https://maps.google.com/?q=17.068498,-96.720205%20" TargetMode="External"/><Relationship Id="rId233" Type="http://schemas.openxmlformats.org/officeDocument/2006/relationships/hyperlink" Target="https://maps.google.com/?q=17.1043665937832,-96.966581658895393" TargetMode="External"/><Relationship Id="rId440" Type="http://schemas.openxmlformats.org/officeDocument/2006/relationships/hyperlink" Target="https://maps.google.com/?q=17.412242,-97.013947999999999" TargetMode="External"/><Relationship Id="rId678" Type="http://schemas.openxmlformats.org/officeDocument/2006/relationships/hyperlink" Target="https://maps.google.com/?q=17.2568922834446,-98.262548341104505" TargetMode="External"/><Relationship Id="rId885" Type="http://schemas.openxmlformats.org/officeDocument/2006/relationships/hyperlink" Target="https://maps.google.com/?q=16.7153731088738,-94.748539369728505" TargetMode="External"/><Relationship Id="rId1070" Type="http://schemas.openxmlformats.org/officeDocument/2006/relationships/hyperlink" Target="https://maps.google.com/?q=17.380797,-96.163816999999995" TargetMode="External"/><Relationship Id="rId2121" Type="http://schemas.openxmlformats.org/officeDocument/2006/relationships/hyperlink" Target="https://maps.google.com/?q=17.33873,-96.152553999999995" TargetMode="External"/><Relationship Id="rId2359" Type="http://schemas.openxmlformats.org/officeDocument/2006/relationships/hyperlink" Target="https://maps.google.com/?q=17.267449,-97.680485000000004" TargetMode="External"/><Relationship Id="rId2566" Type="http://schemas.openxmlformats.org/officeDocument/2006/relationships/hyperlink" Target="https://maps.google.com/?q=16.387377388048478,-96.839219541455819" TargetMode="External"/><Relationship Id="rId2773" Type="http://schemas.openxmlformats.org/officeDocument/2006/relationships/hyperlink" Target="https://maps.google.com/?q=18.0845016968522,-96.167292790283298" TargetMode="External"/><Relationship Id="rId2980" Type="http://schemas.openxmlformats.org/officeDocument/2006/relationships/hyperlink" Target="https://maps.google.com/?q=17.433851,-98.285728000000006" TargetMode="External"/><Relationship Id="rId300" Type="http://schemas.openxmlformats.org/officeDocument/2006/relationships/hyperlink" Target="https://maps.google.com/?q=16.6159087174999,-97.788273480985595" TargetMode="External"/><Relationship Id="rId538" Type="http://schemas.openxmlformats.org/officeDocument/2006/relationships/hyperlink" Target="https://maps.google.com/?q=17.150796853047,-97.7020308759882" TargetMode="External"/><Relationship Id="rId745" Type="http://schemas.openxmlformats.org/officeDocument/2006/relationships/hyperlink" Target="https://maps.google.com/?q=16.81420188281,-95.119915443474497" TargetMode="External"/><Relationship Id="rId952" Type="http://schemas.openxmlformats.org/officeDocument/2006/relationships/hyperlink" Target="https://maps.google.com/?q=16.6811894622822,-94.771411454613798" TargetMode="External"/><Relationship Id="rId1168" Type="http://schemas.openxmlformats.org/officeDocument/2006/relationships/hyperlink" Target="https://maps.google.com/?q=17.382549,-96.162493999999995" TargetMode="External"/><Relationship Id="rId1375" Type="http://schemas.openxmlformats.org/officeDocument/2006/relationships/hyperlink" Target="https://maps.google.com/?q=16.78796038,-96.920884920000006" TargetMode="External"/><Relationship Id="rId1582" Type="http://schemas.openxmlformats.org/officeDocument/2006/relationships/hyperlink" Target="https://maps.google.com/?q=16.7899514,-96.895312869999998" TargetMode="External"/><Relationship Id="rId2219" Type="http://schemas.openxmlformats.org/officeDocument/2006/relationships/hyperlink" Target="https://maps.google.com/?q=18.081169,-96.118475000000004" TargetMode="External"/><Relationship Id="rId2426" Type="http://schemas.openxmlformats.org/officeDocument/2006/relationships/hyperlink" Target="https://maps.google.com/?q=16.383931852078284,-96.837063235108673" TargetMode="External"/><Relationship Id="rId2633" Type="http://schemas.openxmlformats.org/officeDocument/2006/relationships/hyperlink" Target="https://maps.google.com/?q=17.9856488182575,-96.101282432281195" TargetMode="External"/><Relationship Id="rId81" Type="http://schemas.openxmlformats.org/officeDocument/2006/relationships/hyperlink" Target="https://maps.google.com/?q=17.0193874504363,-96.863788125165897" TargetMode="External"/><Relationship Id="rId605" Type="http://schemas.openxmlformats.org/officeDocument/2006/relationships/hyperlink" Target="https://maps.google.com/?q=17.2730635639563,-98.275678046626993" TargetMode="External"/><Relationship Id="rId812" Type="http://schemas.openxmlformats.org/officeDocument/2006/relationships/hyperlink" Target="https://maps.google.com/?q=16.8801981063223,-95.050297398811395" TargetMode="External"/><Relationship Id="rId1028" Type="http://schemas.openxmlformats.org/officeDocument/2006/relationships/hyperlink" Target="https://maps.google.com/?q=17.380344,-96.161107000000001" TargetMode="External"/><Relationship Id="rId1235" Type="http://schemas.openxmlformats.org/officeDocument/2006/relationships/hyperlink" Target="https://maps.google.com/?q=17.10410361,-96.776821626" TargetMode="External"/><Relationship Id="rId1442" Type="http://schemas.openxmlformats.org/officeDocument/2006/relationships/hyperlink" Target="https://maps.google.com/?q=16.78877831,-96.916046339999994" TargetMode="External"/><Relationship Id="rId1887" Type="http://schemas.openxmlformats.org/officeDocument/2006/relationships/hyperlink" Target="https://maps.google.com/?q=17.801687,-96.959688" TargetMode="External"/><Relationship Id="rId2840" Type="http://schemas.openxmlformats.org/officeDocument/2006/relationships/hyperlink" Target="https://maps.google.com/?q=17.0345900509663,-97.511105953373004" TargetMode="External"/><Relationship Id="rId2938" Type="http://schemas.openxmlformats.org/officeDocument/2006/relationships/hyperlink" Target="https://maps.google.com/?q=17.3380207677162,-98.171118816550305" TargetMode="External"/><Relationship Id="rId1302" Type="http://schemas.openxmlformats.org/officeDocument/2006/relationships/hyperlink" Target="https://maps.google.com/?q=16.786362914836236,-96.903847311859906" TargetMode="External"/><Relationship Id="rId1747" Type="http://schemas.openxmlformats.org/officeDocument/2006/relationships/hyperlink" Target="https://maps.google.com/?q=17.027318,%20-96.734302" TargetMode="External"/><Relationship Id="rId1954" Type="http://schemas.openxmlformats.org/officeDocument/2006/relationships/hyperlink" Target="https://maps.google.com/?q=16.328751,-96.596529000000004" TargetMode="External"/><Relationship Id="rId2700" Type="http://schemas.openxmlformats.org/officeDocument/2006/relationships/hyperlink" Target="https://maps.google.com/?q=18.0579035020706,-96.142904236889393" TargetMode="External"/><Relationship Id="rId39" Type="http://schemas.openxmlformats.org/officeDocument/2006/relationships/hyperlink" Target="https://maps.google.com/?q=15.98952011,-95.679107000000002" TargetMode="External"/><Relationship Id="rId1607" Type="http://schemas.openxmlformats.org/officeDocument/2006/relationships/hyperlink" Target="https://maps.google.com/?q=16.7904966,-96.90480633" TargetMode="External"/><Relationship Id="rId1814" Type="http://schemas.openxmlformats.org/officeDocument/2006/relationships/hyperlink" Target="https://maps.google.com/?q=15.7737076,-96.142785799999999" TargetMode="External"/><Relationship Id="rId3267" Type="http://schemas.openxmlformats.org/officeDocument/2006/relationships/hyperlink" Target="https://maps.google.com/?q=18.056659,-96.997668" TargetMode="External"/><Relationship Id="rId188" Type="http://schemas.openxmlformats.org/officeDocument/2006/relationships/hyperlink" Target="https://maps.google.com/?q=16.7833327153713,-96.582460057824406" TargetMode="External"/><Relationship Id="rId395" Type="http://schemas.openxmlformats.org/officeDocument/2006/relationships/hyperlink" Target="https://maps.google.com/?q=16.492284864876,-97.584912224536694" TargetMode="External"/><Relationship Id="rId2076" Type="http://schemas.openxmlformats.org/officeDocument/2006/relationships/hyperlink" Target="https://maps.google.com/?q=16.433347,-95.021687" TargetMode="External"/><Relationship Id="rId2283" Type="http://schemas.openxmlformats.org/officeDocument/2006/relationships/hyperlink" Target="https://maps.google.com/?q=16.279058,-97.820240999999996" TargetMode="External"/><Relationship Id="rId2490" Type="http://schemas.openxmlformats.org/officeDocument/2006/relationships/hyperlink" Target="https://maps.google.com/?q=16.38518575204434,-96.842044839098705" TargetMode="External"/><Relationship Id="rId2588" Type="http://schemas.openxmlformats.org/officeDocument/2006/relationships/hyperlink" Target="https://maps.google.com/?q=16.394036653978237,-96.842341415588521" TargetMode="External"/><Relationship Id="rId3127" Type="http://schemas.openxmlformats.org/officeDocument/2006/relationships/hyperlink" Target="https://maps.google.com/?q=16.4394124367714,-95.007671722324901" TargetMode="External"/><Relationship Id="rId255" Type="http://schemas.openxmlformats.org/officeDocument/2006/relationships/hyperlink" Target="https://maps.google.com/?q=16.9700569816678,-97.031240658895399" TargetMode="External"/><Relationship Id="rId462" Type="http://schemas.openxmlformats.org/officeDocument/2006/relationships/hyperlink" Target="https://maps.google.com/?q=17.416433,-96.931741000000002" TargetMode="External"/><Relationship Id="rId1092" Type="http://schemas.openxmlformats.org/officeDocument/2006/relationships/hyperlink" Target="https://maps.google.com/?q=17.38105,-96.163121000000004" TargetMode="External"/><Relationship Id="rId1397" Type="http://schemas.openxmlformats.org/officeDocument/2006/relationships/hyperlink" Target="https://maps.google.com/?q=16.78829763,-96.914357570000007" TargetMode="External"/><Relationship Id="rId2143" Type="http://schemas.openxmlformats.org/officeDocument/2006/relationships/hyperlink" Target="https://maps.google.com/?q=16.95558,-96.479206000000005" TargetMode="External"/><Relationship Id="rId2350" Type="http://schemas.openxmlformats.org/officeDocument/2006/relationships/hyperlink" Target="https://maps.google.com/?q=16.564244,-96.731829000000005" TargetMode="External"/><Relationship Id="rId2795" Type="http://schemas.openxmlformats.org/officeDocument/2006/relationships/hyperlink" Target="https://maps.google.com/?q=18.0963556689925,-96.163213963343495" TargetMode="External"/><Relationship Id="rId115" Type="http://schemas.openxmlformats.org/officeDocument/2006/relationships/hyperlink" Target="https://maps.google.com/?q=16.9520571071478,-96.899033625022" TargetMode="External"/><Relationship Id="rId322" Type="http://schemas.openxmlformats.org/officeDocument/2006/relationships/hyperlink" Target="https://maps.google.com/?q=16.5140224310189,-97.780350682209104" TargetMode="External"/><Relationship Id="rId767" Type="http://schemas.openxmlformats.org/officeDocument/2006/relationships/hyperlink" Target="https://maps.google.com/?q=16.8208464012654,-95.117767320852394" TargetMode="External"/><Relationship Id="rId974" Type="http://schemas.openxmlformats.org/officeDocument/2006/relationships/hyperlink" Target="https://maps.google.com/?q=17.379454,-96.160495999999995" TargetMode="External"/><Relationship Id="rId2003" Type="http://schemas.openxmlformats.org/officeDocument/2006/relationships/hyperlink" Target="https://maps.google.com/?q=17.458341,-97.225285" TargetMode="External"/><Relationship Id="rId2210" Type="http://schemas.openxmlformats.org/officeDocument/2006/relationships/hyperlink" Target="https://maps.google.com/?q=17.335316,-98.012051" TargetMode="External"/><Relationship Id="rId2448" Type="http://schemas.openxmlformats.org/officeDocument/2006/relationships/hyperlink" Target="https://maps.google.com/?q=16.384357862600808,-96.843808187513062" TargetMode="External"/><Relationship Id="rId2655" Type="http://schemas.openxmlformats.org/officeDocument/2006/relationships/hyperlink" Target="https://maps.google.com/?q=18.1247970593861,-95.998547137234397" TargetMode="External"/><Relationship Id="rId2862" Type="http://schemas.openxmlformats.org/officeDocument/2006/relationships/hyperlink" Target="https://maps.google.com/?q=17.01067005606,-97.469592347915494" TargetMode="External"/><Relationship Id="rId627" Type="http://schemas.openxmlformats.org/officeDocument/2006/relationships/hyperlink" Target="https://maps.google.com/?q=17.2780760027144,-98.279696999999999" TargetMode="External"/><Relationship Id="rId834" Type="http://schemas.openxmlformats.org/officeDocument/2006/relationships/hyperlink" Target="https://maps.google.com/?q=16.712989,-94.747692999999998" TargetMode="External"/><Relationship Id="rId1257" Type="http://schemas.openxmlformats.org/officeDocument/2006/relationships/hyperlink" Target="https://maps.google.com/?q=16.78111487,-96.94966694" TargetMode="External"/><Relationship Id="rId1464" Type="http://schemas.openxmlformats.org/officeDocument/2006/relationships/hyperlink" Target="https://maps.google.com/?q=16.78897192,-96.896973209999999" TargetMode="External"/><Relationship Id="rId1671" Type="http://schemas.openxmlformats.org/officeDocument/2006/relationships/hyperlink" Target="https://maps.google.com/?q=17.26175018,-97.890780125340001" TargetMode="External"/><Relationship Id="rId2308" Type="http://schemas.openxmlformats.org/officeDocument/2006/relationships/hyperlink" Target="https://maps.google.com/?q=17.806621,-97.776161999999999" TargetMode="External"/><Relationship Id="rId2515" Type="http://schemas.openxmlformats.org/officeDocument/2006/relationships/hyperlink" Target="https://maps.google.com/?q=16.385576576972372,-96.841091595605818" TargetMode="External"/><Relationship Id="rId2722" Type="http://schemas.openxmlformats.org/officeDocument/2006/relationships/hyperlink" Target="https://maps.google.com/?q=18.0626624276885,-96.136084883432503" TargetMode="External"/><Relationship Id="rId901" Type="http://schemas.openxmlformats.org/officeDocument/2006/relationships/hyperlink" Target="https://maps.google.com/?q=16.7159390311282,-94.745632259507204" TargetMode="External"/><Relationship Id="rId1117" Type="http://schemas.openxmlformats.org/officeDocument/2006/relationships/hyperlink" Target="https://maps.google.com/?q=17.381382,-96.159881999999996" TargetMode="External"/><Relationship Id="rId1324" Type="http://schemas.openxmlformats.org/officeDocument/2006/relationships/hyperlink" Target="https://maps.google.com/?q=16.78691066,-96.898733219999997" TargetMode="External"/><Relationship Id="rId1531" Type="http://schemas.openxmlformats.org/officeDocument/2006/relationships/hyperlink" Target="https://maps.google.com/?q=16.78950954,-96.892856559999998" TargetMode="External"/><Relationship Id="rId1769" Type="http://schemas.openxmlformats.org/officeDocument/2006/relationships/hyperlink" Target="https://maps.google.com/?q=17.31143,-96.912120999999999" TargetMode="External"/><Relationship Id="rId1976" Type="http://schemas.openxmlformats.org/officeDocument/2006/relationships/hyperlink" Target="https://maps.google.com/?q=17.724615,-97.323898" TargetMode="External"/><Relationship Id="rId3191" Type="http://schemas.openxmlformats.org/officeDocument/2006/relationships/hyperlink" Target="https://maps.google.com/?q=15.746144,-96.465182999999996" TargetMode="External"/><Relationship Id="rId30" Type="http://schemas.openxmlformats.org/officeDocument/2006/relationships/hyperlink" Target="https://maps.google.com/?q=15.98771906,-95.672519489999999" TargetMode="External"/><Relationship Id="rId1629" Type="http://schemas.openxmlformats.org/officeDocument/2006/relationships/hyperlink" Target="https://maps.google.com/?q=17.257796,-97.808528300000006" TargetMode="External"/><Relationship Id="rId1836" Type="http://schemas.openxmlformats.org/officeDocument/2006/relationships/hyperlink" Target="https://maps.google.com/?q=16.397673140219048,-95.61115652395854" TargetMode="External"/><Relationship Id="rId3289" Type="http://schemas.openxmlformats.org/officeDocument/2006/relationships/hyperlink" Target="https://maps.google.com/?q=16.529347,-94.516461" TargetMode="External"/><Relationship Id="rId1903" Type="http://schemas.openxmlformats.org/officeDocument/2006/relationships/hyperlink" Target="https://maps.google.com/?q=16.95558,-96.479206000000005" TargetMode="External"/><Relationship Id="rId2098" Type="http://schemas.openxmlformats.org/officeDocument/2006/relationships/hyperlink" Target="https://maps.google.com/?q=17.806621,-97.776161999999999" TargetMode="External"/><Relationship Id="rId3051" Type="http://schemas.openxmlformats.org/officeDocument/2006/relationships/hyperlink" Target="https://maps.google.com/?q=16.4279335782439,-95.008556810785507" TargetMode="External"/><Relationship Id="rId3149" Type="http://schemas.openxmlformats.org/officeDocument/2006/relationships/hyperlink" Target="https://maps.google.com/?q=16.44238154,-95.032240400000006" TargetMode="External"/><Relationship Id="rId277" Type="http://schemas.openxmlformats.org/officeDocument/2006/relationships/hyperlink" Target="https://maps.google.com/?q=17.0663531822219,-96.964360519014306" TargetMode="External"/><Relationship Id="rId484" Type="http://schemas.openxmlformats.org/officeDocument/2006/relationships/hyperlink" Target="https://maps.google.com/?q=17.38022573,-96.919367739999998" TargetMode="External"/><Relationship Id="rId2165" Type="http://schemas.openxmlformats.org/officeDocument/2006/relationships/hyperlink" Target="https://maps.google.com/?q=16.332014,-95.231966" TargetMode="External"/><Relationship Id="rId3009" Type="http://schemas.openxmlformats.org/officeDocument/2006/relationships/hyperlink" Target="https://maps.google.com/?q=16.4239363330951,-95.013603586310396" TargetMode="External"/><Relationship Id="rId3216" Type="http://schemas.openxmlformats.org/officeDocument/2006/relationships/hyperlink" Target="https://maps.google.com/?q=17.724615,-97.323898" TargetMode="External"/><Relationship Id="rId137" Type="http://schemas.openxmlformats.org/officeDocument/2006/relationships/hyperlink" Target="https://maps.google.com/?q=16.7800392746353,-96.583259425760303" TargetMode="External"/><Relationship Id="rId344" Type="http://schemas.openxmlformats.org/officeDocument/2006/relationships/hyperlink" Target="https://maps.google.com/?q=16.5188656450186,-97.782262363491796" TargetMode="External"/><Relationship Id="rId691" Type="http://schemas.openxmlformats.org/officeDocument/2006/relationships/hyperlink" Target="https://maps.google.com/?q=17.2585796520976,-98.262392612268499" TargetMode="External"/><Relationship Id="rId789" Type="http://schemas.openxmlformats.org/officeDocument/2006/relationships/hyperlink" Target="https://maps.google.com/?q=16.8903811356987,-95.039567387731594" TargetMode="External"/><Relationship Id="rId996" Type="http://schemas.openxmlformats.org/officeDocument/2006/relationships/hyperlink" Target="https://maps.google.com/?q=17.379972,-96.162514000000002" TargetMode="External"/><Relationship Id="rId2025" Type="http://schemas.openxmlformats.org/officeDocument/2006/relationships/hyperlink" Target="https://maps.google.com/?q=17.027131,-96.077044000000001" TargetMode="External"/><Relationship Id="rId2372" Type="http://schemas.openxmlformats.org/officeDocument/2006/relationships/hyperlink" Target="https://maps.google.com/?q=16.379600075880276,-96.843569005729151" TargetMode="External"/><Relationship Id="rId2677" Type="http://schemas.openxmlformats.org/officeDocument/2006/relationships/hyperlink" Target="https://maps.google.com/?q=18.0523314457306,-96.138877046627101" TargetMode="External"/><Relationship Id="rId2884" Type="http://schemas.openxmlformats.org/officeDocument/2006/relationships/hyperlink" Target="https://maps.google.com/?q=17.319655,-98.240220" TargetMode="External"/><Relationship Id="rId551" Type="http://schemas.openxmlformats.org/officeDocument/2006/relationships/hyperlink" Target="https://maps.google.com/?q=17.067142611614422,-96.8355684390921" TargetMode="External"/><Relationship Id="rId649" Type="http://schemas.openxmlformats.org/officeDocument/2006/relationships/hyperlink" Target="https://maps.google.com/?q=17.22135785,-98.192261340000002" TargetMode="External"/><Relationship Id="rId856" Type="http://schemas.openxmlformats.org/officeDocument/2006/relationships/hyperlink" Target="https://maps.google.com/?q=16.713907,-94.746818000000005" TargetMode="External"/><Relationship Id="rId1181" Type="http://schemas.openxmlformats.org/officeDocument/2006/relationships/hyperlink" Target="https://maps.google.com/?q=17.099537,%20-96.771046" TargetMode="External"/><Relationship Id="rId1279" Type="http://schemas.openxmlformats.org/officeDocument/2006/relationships/hyperlink" Target="https://maps.google.com/?q=16.7825025,-96.941796120000006" TargetMode="External"/><Relationship Id="rId1486" Type="http://schemas.openxmlformats.org/officeDocument/2006/relationships/hyperlink" Target="https://maps.google.com/?q=16.78914207,-96.910263009999994" TargetMode="External"/><Relationship Id="rId2232" Type="http://schemas.openxmlformats.org/officeDocument/2006/relationships/hyperlink" Target="https://maps.google.com/?q=16.950706,-96.750504000000006" TargetMode="External"/><Relationship Id="rId2537" Type="http://schemas.openxmlformats.org/officeDocument/2006/relationships/hyperlink" Target="https://maps.google.com/?q=16.386375600977342,-96.837407398529649" TargetMode="External"/><Relationship Id="rId204" Type="http://schemas.openxmlformats.org/officeDocument/2006/relationships/hyperlink" Target="https://maps.google.com/?q=16.7842138676247,-96.580792096312607" TargetMode="External"/><Relationship Id="rId411" Type="http://schemas.openxmlformats.org/officeDocument/2006/relationships/hyperlink" Target="https://maps.google.com/?q=17.402316,-96.927091000000004" TargetMode="External"/><Relationship Id="rId509" Type="http://schemas.openxmlformats.org/officeDocument/2006/relationships/hyperlink" Target="https://maps.google.com/?q=17.1532942334031,-97.728653307172394" TargetMode="External"/><Relationship Id="rId1041" Type="http://schemas.openxmlformats.org/officeDocument/2006/relationships/hyperlink" Target="https://maps.google.com/?q=17.380463,-96.161264000000003" TargetMode="External"/><Relationship Id="rId1139" Type="http://schemas.openxmlformats.org/officeDocument/2006/relationships/hyperlink" Target="https://maps.google.com/?q=17.381755,-96.164546999999999" TargetMode="External"/><Relationship Id="rId1346" Type="http://schemas.openxmlformats.org/officeDocument/2006/relationships/hyperlink" Target="https://maps.google.com/?q=16.7874315,-96.915025560000004" TargetMode="External"/><Relationship Id="rId1693" Type="http://schemas.openxmlformats.org/officeDocument/2006/relationships/hyperlink" Target="https://maps.google.com/?q=17.2794572,-97.874143000000004" TargetMode="External"/><Relationship Id="rId1998" Type="http://schemas.openxmlformats.org/officeDocument/2006/relationships/hyperlink" Target="https://maps.google.com/?q=17.267449,-97.680485000000004" TargetMode="External"/><Relationship Id="rId2744" Type="http://schemas.openxmlformats.org/officeDocument/2006/relationships/hyperlink" Target="https://maps.google.com/?q=18.0769724900987,-96.168336209822201" TargetMode="External"/><Relationship Id="rId2951" Type="http://schemas.openxmlformats.org/officeDocument/2006/relationships/hyperlink" Target="https://maps.google.com/?q=17.428891,-98.289938000000006" TargetMode="External"/><Relationship Id="rId716" Type="http://schemas.openxmlformats.org/officeDocument/2006/relationships/hyperlink" Target="https://maps.google.com/?q=17.2603281605818,-98.262234976686997" TargetMode="External"/><Relationship Id="rId923" Type="http://schemas.openxmlformats.org/officeDocument/2006/relationships/hyperlink" Target="https://maps.google.com/?q=16.674037394358,-94.775521168115901" TargetMode="External"/><Relationship Id="rId1553" Type="http://schemas.openxmlformats.org/officeDocument/2006/relationships/hyperlink" Target="https://maps.google.com/?q=16.78969074,-96.902563189999995" TargetMode="External"/><Relationship Id="rId1760" Type="http://schemas.openxmlformats.org/officeDocument/2006/relationships/hyperlink" Target="https://maps.google.com/?q=17.310238,-96.913065000000003" TargetMode="External"/><Relationship Id="rId1858" Type="http://schemas.openxmlformats.org/officeDocument/2006/relationships/hyperlink" Target="https://maps.google.com/?q=17.824369,-97.731819999999999" TargetMode="External"/><Relationship Id="rId2604" Type="http://schemas.openxmlformats.org/officeDocument/2006/relationships/hyperlink" Target="https://maps.google.com/?q=16.39742263761044,-96.841089912089771" TargetMode="External"/><Relationship Id="rId2811" Type="http://schemas.openxmlformats.org/officeDocument/2006/relationships/hyperlink" Target="https://maps.google.com/?q=18.0995142937293,-96.161387917929105" TargetMode="External"/><Relationship Id="rId52" Type="http://schemas.openxmlformats.org/officeDocument/2006/relationships/hyperlink" Target="https://maps.google.com/?q=16.979180467567,-96.887108756994806" TargetMode="External"/><Relationship Id="rId1206" Type="http://schemas.openxmlformats.org/officeDocument/2006/relationships/hyperlink" Target="https://maps.google.com/?q=17.10413,%20-96.777046" TargetMode="External"/><Relationship Id="rId1413" Type="http://schemas.openxmlformats.org/officeDocument/2006/relationships/hyperlink" Target="https://maps.google.com/?q=16.78853629,-96.904917909999995" TargetMode="External"/><Relationship Id="rId1620" Type="http://schemas.openxmlformats.org/officeDocument/2006/relationships/hyperlink" Target="https://maps.google.com/?q=17.250083,-97.814941" TargetMode="External"/><Relationship Id="rId2909" Type="http://schemas.openxmlformats.org/officeDocument/2006/relationships/hyperlink" Target="https://maps.google.com/?q=17.323383,-98.240427999999994" TargetMode="External"/><Relationship Id="rId3073" Type="http://schemas.openxmlformats.org/officeDocument/2006/relationships/hyperlink" Target="https://maps.google.com/?q=16.4299598771297,-95.027172957964098" TargetMode="External"/><Relationship Id="rId3280" Type="http://schemas.openxmlformats.org/officeDocument/2006/relationships/hyperlink" Target="https://maps.google.com/?q=16.799751,-97.068641" TargetMode="External"/><Relationship Id="rId1718" Type="http://schemas.openxmlformats.org/officeDocument/2006/relationships/hyperlink" Target="https://maps.google.com/?q=16.787955,-96.792011000000002" TargetMode="External"/><Relationship Id="rId1925" Type="http://schemas.openxmlformats.org/officeDocument/2006/relationships/hyperlink" Target="https://maps.google.com/?q=16.332014,-95.231966" TargetMode="External"/><Relationship Id="rId3140" Type="http://schemas.openxmlformats.org/officeDocument/2006/relationships/hyperlink" Target="https://maps.google.com/?q=16.4403228161402,-95.031272654882301" TargetMode="External"/><Relationship Id="rId299" Type="http://schemas.openxmlformats.org/officeDocument/2006/relationships/hyperlink" Target="https://maps.google.com/?q=16.6157589046681,-97.788830190490103" TargetMode="External"/><Relationship Id="rId2187" Type="http://schemas.openxmlformats.org/officeDocument/2006/relationships/hyperlink" Target="https://maps.google.com/?q=17.801687,-96.959688" TargetMode="External"/><Relationship Id="rId2394" Type="http://schemas.openxmlformats.org/officeDocument/2006/relationships/hyperlink" Target="https://maps.google.com/?q=16.382763033993125,-96.843821895015168" TargetMode="External"/><Relationship Id="rId3238" Type="http://schemas.openxmlformats.org/officeDocument/2006/relationships/hyperlink" Target="https://maps.google.com/?q=17.267449,-97.680485000000004" TargetMode="External"/><Relationship Id="rId159" Type="http://schemas.openxmlformats.org/officeDocument/2006/relationships/hyperlink" Target="https://maps.google.com/?q=16.781615434652,-96.579839999999905" TargetMode="External"/><Relationship Id="rId366" Type="http://schemas.openxmlformats.org/officeDocument/2006/relationships/hyperlink" Target="https://maps.google.com/?q=16.500444,-97.780940999999999" TargetMode="External"/><Relationship Id="rId573" Type="http://schemas.openxmlformats.org/officeDocument/2006/relationships/hyperlink" Target="https://maps.google.com/?q=17.1771497214114,-98.194391341104506" TargetMode="External"/><Relationship Id="rId780" Type="http://schemas.openxmlformats.org/officeDocument/2006/relationships/hyperlink" Target="https://maps.google.com/?q=16.8239617189354,-95.120671685581996" TargetMode="External"/><Relationship Id="rId2047" Type="http://schemas.openxmlformats.org/officeDocument/2006/relationships/hyperlink" Target="https://maps.google.com/?q=16.500512,-96.106790000000004" TargetMode="External"/><Relationship Id="rId2254" Type="http://schemas.openxmlformats.org/officeDocument/2006/relationships/hyperlink" Target="https://maps.google.com/?q=16.328751,-96.596529000000004" TargetMode="External"/><Relationship Id="rId2461" Type="http://schemas.openxmlformats.org/officeDocument/2006/relationships/hyperlink" Target="https://maps.google.com/?q=16.38452963888395,-96.842838199051144" TargetMode="External"/><Relationship Id="rId2699" Type="http://schemas.openxmlformats.org/officeDocument/2006/relationships/hyperlink" Target="https://maps.google.com/?q=18.0571957274228,-96.150997968124003" TargetMode="External"/><Relationship Id="rId3000" Type="http://schemas.openxmlformats.org/officeDocument/2006/relationships/hyperlink" Target="https://maps.google.com/?q=16.4223299750242,-95.027779496456205" TargetMode="External"/><Relationship Id="rId226" Type="http://schemas.openxmlformats.org/officeDocument/2006/relationships/hyperlink" Target="https://maps.google.com/?q=16.978909741513,-97.055970752149605" TargetMode="External"/><Relationship Id="rId433" Type="http://schemas.openxmlformats.org/officeDocument/2006/relationships/hyperlink" Target="https://maps.google.com/?q=17.40970116221,-97.013393125299999" TargetMode="External"/><Relationship Id="rId878" Type="http://schemas.openxmlformats.org/officeDocument/2006/relationships/hyperlink" Target="https://maps.google.com/?q=16.714942,-94.748716000000002" TargetMode="External"/><Relationship Id="rId1063" Type="http://schemas.openxmlformats.org/officeDocument/2006/relationships/hyperlink" Target="https://maps.google.com/?q=17.380719,-96.161219000000003" TargetMode="External"/><Relationship Id="rId1270" Type="http://schemas.openxmlformats.org/officeDocument/2006/relationships/hyperlink" Target="https://maps.google.com/?q=16.78200769,-96.948343010000002" TargetMode="External"/><Relationship Id="rId2114" Type="http://schemas.openxmlformats.org/officeDocument/2006/relationships/hyperlink" Target="https://maps.google.com/?q=17.026216,-97.928115000000005" TargetMode="External"/><Relationship Id="rId2559" Type="http://schemas.openxmlformats.org/officeDocument/2006/relationships/hyperlink" Target="https://maps.google.com/?q=16.387207690615032,-96.839058676008648" TargetMode="External"/><Relationship Id="rId2766" Type="http://schemas.openxmlformats.org/officeDocument/2006/relationships/hyperlink" Target="https://maps.google.com/?q=18.0837099746368,-96.166963954749406" TargetMode="External"/><Relationship Id="rId2973" Type="http://schemas.openxmlformats.org/officeDocument/2006/relationships/hyperlink" Target="https://maps.google.com/?q=17.432402,-98.288533000000001" TargetMode="External"/><Relationship Id="rId640" Type="http://schemas.openxmlformats.org/officeDocument/2006/relationships/hyperlink" Target="https://maps.google.com/?q=17.21728528,-98.190271339999995" TargetMode="External"/><Relationship Id="rId738" Type="http://schemas.openxmlformats.org/officeDocument/2006/relationships/hyperlink" Target="https://maps.google.com/?q=16.8800394360416,-95.027819317791" TargetMode="External"/><Relationship Id="rId945" Type="http://schemas.openxmlformats.org/officeDocument/2006/relationships/hyperlink" Target="https://maps.google.com/?q=16.679487765598,-94.773210947809005" TargetMode="External"/><Relationship Id="rId1368" Type="http://schemas.openxmlformats.org/officeDocument/2006/relationships/hyperlink" Target="https://maps.google.com/?q=16.78788099,-96.898163710000006" TargetMode="External"/><Relationship Id="rId1575" Type="http://schemas.openxmlformats.org/officeDocument/2006/relationships/hyperlink" Target="https://maps.google.com/?q=16.78988619,-96.893726970000003" TargetMode="External"/><Relationship Id="rId1782" Type="http://schemas.openxmlformats.org/officeDocument/2006/relationships/hyperlink" Target="https://maps.google.com/?q=15.7730873,-96.139712500000002" TargetMode="External"/><Relationship Id="rId2321" Type="http://schemas.openxmlformats.org/officeDocument/2006/relationships/hyperlink" Target="https://maps.google.com/?q=16.866371,-96.785623000000001" TargetMode="External"/><Relationship Id="rId2419" Type="http://schemas.openxmlformats.org/officeDocument/2006/relationships/hyperlink" Target="https://maps.google.com/?q=16.383765666751597,-96.841649700237397" TargetMode="External"/><Relationship Id="rId2626" Type="http://schemas.openxmlformats.org/officeDocument/2006/relationships/hyperlink" Target="https://maps.google.com/?q=17.9843849700679,-96.098296880950798" TargetMode="External"/><Relationship Id="rId2833" Type="http://schemas.openxmlformats.org/officeDocument/2006/relationships/hyperlink" Target="https://maps.google.com/?q=17.0185961555783,-97.498309612268301" TargetMode="External"/><Relationship Id="rId74" Type="http://schemas.openxmlformats.org/officeDocument/2006/relationships/hyperlink" Target="https://maps.google.com/?q=17.0153038170754,-96.859792180391295" TargetMode="External"/><Relationship Id="rId500" Type="http://schemas.openxmlformats.org/officeDocument/2006/relationships/hyperlink" Target="https://maps.google.com/?q=17.430954,-96.933494199999998" TargetMode="External"/><Relationship Id="rId805" Type="http://schemas.openxmlformats.org/officeDocument/2006/relationships/hyperlink" Target="https://maps.google.com/?q=16.8981238698911,-95.038116046626897" TargetMode="External"/><Relationship Id="rId1130" Type="http://schemas.openxmlformats.org/officeDocument/2006/relationships/hyperlink" Target="https://maps.google.com/?q=17.381554,-96.159944999999993" TargetMode="External"/><Relationship Id="rId1228" Type="http://schemas.openxmlformats.org/officeDocument/2006/relationships/hyperlink" Target="https://maps.google.com/?q=17.103199454,-96.774208015" TargetMode="External"/><Relationship Id="rId1435" Type="http://schemas.openxmlformats.org/officeDocument/2006/relationships/hyperlink" Target="https://maps.google.com/?q=16.78874001,-96.913478130000001" TargetMode="External"/><Relationship Id="rId1642" Type="http://schemas.openxmlformats.org/officeDocument/2006/relationships/hyperlink" Target="https://maps.google.com/?q=17.3233237269142,-97.896806726070395" TargetMode="External"/><Relationship Id="rId1947" Type="http://schemas.openxmlformats.org/officeDocument/2006/relationships/hyperlink" Target="https://maps.google.com/?q=17.801687,-96.959688" TargetMode="External"/><Relationship Id="rId2900" Type="http://schemas.openxmlformats.org/officeDocument/2006/relationships/hyperlink" Target="https://maps.google.com/?q=17.3213396540118,-98.2389548850359" TargetMode="External"/><Relationship Id="rId3095" Type="http://schemas.openxmlformats.org/officeDocument/2006/relationships/hyperlink" Target="https://maps.google.com/?q=16.43388348,-95.015920159999993" TargetMode="External"/><Relationship Id="rId1502" Type="http://schemas.openxmlformats.org/officeDocument/2006/relationships/hyperlink" Target="https://maps.google.com/?q=16.78923369,-96.908175240000006" TargetMode="External"/><Relationship Id="rId1807" Type="http://schemas.openxmlformats.org/officeDocument/2006/relationships/hyperlink" Target="https://maps.google.com/?q=15.7734334,-96.142415400000004" TargetMode="External"/><Relationship Id="rId3162" Type="http://schemas.openxmlformats.org/officeDocument/2006/relationships/hyperlink" Target="https://maps.google.com/?q=16.4483390692883,-95.019759386559201" TargetMode="External"/><Relationship Id="rId290" Type="http://schemas.openxmlformats.org/officeDocument/2006/relationships/hyperlink" Target="https://maps.google.com/?q=16.6138134323671,-97.789098011657103" TargetMode="External"/><Relationship Id="rId388" Type="http://schemas.openxmlformats.org/officeDocument/2006/relationships/hyperlink" Target="https://maps.google.com/?q=16.4904657198541,-97.581368918402703" TargetMode="External"/><Relationship Id="rId2069" Type="http://schemas.openxmlformats.org/officeDocument/2006/relationships/hyperlink" Target="https://maps.google.com/?q=18.081169,-96.118475000000004" TargetMode="External"/><Relationship Id="rId3022" Type="http://schemas.openxmlformats.org/officeDocument/2006/relationships/hyperlink" Target="https://maps.google.com/?q=16.4256065747225,-95.029741560765302" TargetMode="External"/><Relationship Id="rId150" Type="http://schemas.openxmlformats.org/officeDocument/2006/relationships/hyperlink" Target="https://maps.google.com/?q=16.780825827766,-96.586540835640207" TargetMode="External"/><Relationship Id="rId595" Type="http://schemas.openxmlformats.org/officeDocument/2006/relationships/hyperlink" Target="https://maps.google.com/?q=17.2714580107196,-98.276565874834105" TargetMode="External"/><Relationship Id="rId2276" Type="http://schemas.openxmlformats.org/officeDocument/2006/relationships/hyperlink" Target="https://maps.google.com/?q=17.724615,-97.323898" TargetMode="External"/><Relationship Id="rId2483" Type="http://schemas.openxmlformats.org/officeDocument/2006/relationships/hyperlink" Target="https://maps.google.com/?q=16.385001361348543,-96.844782573915168" TargetMode="External"/><Relationship Id="rId2690" Type="http://schemas.openxmlformats.org/officeDocument/2006/relationships/hyperlink" Target="https://maps.google.com/?q=18.054039,-96.149663000000004" TargetMode="External"/><Relationship Id="rId248" Type="http://schemas.openxmlformats.org/officeDocument/2006/relationships/hyperlink" Target="https://maps.google.com/?q=16.9837141260366,-97.020677739123201" TargetMode="External"/><Relationship Id="rId455" Type="http://schemas.openxmlformats.org/officeDocument/2006/relationships/hyperlink" Target="https://maps.google.com/?q=17.4133205702363,-96.931985647850595" TargetMode="External"/><Relationship Id="rId662" Type="http://schemas.openxmlformats.org/officeDocument/2006/relationships/hyperlink" Target="https://maps.google.com/?q=17.22250797,-98.192541019999993" TargetMode="External"/><Relationship Id="rId1085" Type="http://schemas.openxmlformats.org/officeDocument/2006/relationships/hyperlink" Target="https://maps.google.com/?q=17.381002,-96.163179999999997" TargetMode="External"/><Relationship Id="rId1292" Type="http://schemas.openxmlformats.org/officeDocument/2006/relationships/hyperlink" Target="https://maps.google.com/?q=16.78545805,-96.93070917" TargetMode="External"/><Relationship Id="rId2136" Type="http://schemas.openxmlformats.org/officeDocument/2006/relationships/hyperlink" Target="https://maps.google.com/?q=16.433347,-95.021687" TargetMode="External"/><Relationship Id="rId2343" Type="http://schemas.openxmlformats.org/officeDocument/2006/relationships/hyperlink" Target="https://maps.google.com/?q=16.237076,-97.292351999999994" TargetMode="External"/><Relationship Id="rId2550" Type="http://schemas.openxmlformats.org/officeDocument/2006/relationships/hyperlink" Target="https://maps.google.com/?q=16.386946831656953,-96.83827004205699" TargetMode="External"/><Relationship Id="rId2788" Type="http://schemas.openxmlformats.org/officeDocument/2006/relationships/hyperlink" Target="https://maps.google.com/?q=18.0886413379256,-96.172215504299501" TargetMode="External"/><Relationship Id="rId2995" Type="http://schemas.openxmlformats.org/officeDocument/2006/relationships/hyperlink" Target="https://maps.google.com/?q=16.4215294467006,-95.025681766865205" TargetMode="External"/><Relationship Id="rId108" Type="http://schemas.openxmlformats.org/officeDocument/2006/relationships/hyperlink" Target="https://maps.google.com/?q=16.9725376027002,-96.909522326389194" TargetMode="External"/><Relationship Id="rId315" Type="http://schemas.openxmlformats.org/officeDocument/2006/relationships/hyperlink" Target="https://maps.google.com/?q=16.5133071320922,-97.781959129995201" TargetMode="External"/><Relationship Id="rId522" Type="http://schemas.openxmlformats.org/officeDocument/2006/relationships/hyperlink" Target="https://maps.google.com/?q=17.1443146245374,-97.707093411045093" TargetMode="External"/><Relationship Id="rId967" Type="http://schemas.openxmlformats.org/officeDocument/2006/relationships/hyperlink" Target="https://maps.google.com/?q=17.379099,-96.159313999999995" TargetMode="External"/><Relationship Id="rId1152" Type="http://schemas.openxmlformats.org/officeDocument/2006/relationships/hyperlink" Target="https://maps.google.com/?q=17.381965,-96.164473000000001" TargetMode="External"/><Relationship Id="rId1597" Type="http://schemas.openxmlformats.org/officeDocument/2006/relationships/hyperlink" Target="https://maps.google.com/?q=16.79019797,-96.903891680000001" TargetMode="External"/><Relationship Id="rId2203" Type="http://schemas.openxmlformats.org/officeDocument/2006/relationships/hyperlink" Target="https://maps.google.com/?q=16.95558,-96.479206000000005" TargetMode="External"/><Relationship Id="rId2410" Type="http://schemas.openxmlformats.org/officeDocument/2006/relationships/hyperlink" Target="https://maps.google.com/?q=16.38335127300784,-96.842082356972369" TargetMode="External"/><Relationship Id="rId2648" Type="http://schemas.openxmlformats.org/officeDocument/2006/relationships/hyperlink" Target="https://maps.google.com/?q=18.1202784431987,-96.002578685197093" TargetMode="External"/><Relationship Id="rId2855" Type="http://schemas.openxmlformats.org/officeDocument/2006/relationships/hyperlink" Target="https://maps.google.com/?q=17.0099497202722,-97.468917976686697" TargetMode="External"/><Relationship Id="rId96" Type="http://schemas.openxmlformats.org/officeDocument/2006/relationships/hyperlink" Target="https://maps.google.com/?q=17.0119869692908,-96.889639646567701" TargetMode="External"/><Relationship Id="rId827" Type="http://schemas.openxmlformats.org/officeDocument/2006/relationships/hyperlink" Target="https://maps.google.com/?q=16.712623,-94.745519999999999" TargetMode="External"/><Relationship Id="rId1012" Type="http://schemas.openxmlformats.org/officeDocument/2006/relationships/hyperlink" Target="https://maps.google.com/?q=17.380188,-96.160233000000005" TargetMode="External"/><Relationship Id="rId1457" Type="http://schemas.openxmlformats.org/officeDocument/2006/relationships/hyperlink" Target="https://maps.google.com/?q=16.7889294,-96.912375560000001" TargetMode="External"/><Relationship Id="rId1664" Type="http://schemas.openxmlformats.org/officeDocument/2006/relationships/hyperlink" Target="https://maps.google.com/?q=17.25424503,-97.887533735126198" TargetMode="External"/><Relationship Id="rId1871" Type="http://schemas.openxmlformats.org/officeDocument/2006/relationships/hyperlink" Target="https://maps.google.com/?q=16.866371,-96.785623000000001" TargetMode="External"/><Relationship Id="rId2508" Type="http://schemas.openxmlformats.org/officeDocument/2006/relationships/hyperlink" Target="https://maps.google.com/?q=16.385468322293445,-96.837766503446517" TargetMode="External"/><Relationship Id="rId2715" Type="http://schemas.openxmlformats.org/officeDocument/2006/relationships/hyperlink" Target="https://maps.google.com/?q=18.061791566591,-96.144601467832601" TargetMode="External"/><Relationship Id="rId2922" Type="http://schemas.openxmlformats.org/officeDocument/2006/relationships/hyperlink" Target="https://maps.google.com/?q=17.336891200955,-98.172677550926196" TargetMode="External"/><Relationship Id="rId1317" Type="http://schemas.openxmlformats.org/officeDocument/2006/relationships/hyperlink" Target="https://maps.google.com/?q=16.78683742,-96.896933450000006" TargetMode="External"/><Relationship Id="rId1524" Type="http://schemas.openxmlformats.org/officeDocument/2006/relationships/hyperlink" Target="https://maps.google.com/?q=16.78937896,-96.905083989999994" TargetMode="External"/><Relationship Id="rId1731" Type="http://schemas.openxmlformats.org/officeDocument/2006/relationships/hyperlink" Target="https://maps.google.com/?q=16.790171,-96.784576000000001" TargetMode="External"/><Relationship Id="rId1969" Type="http://schemas.openxmlformats.org/officeDocument/2006/relationships/hyperlink" Target="https://maps.google.com/?q=17.331248,-96.487900999999994" TargetMode="External"/><Relationship Id="rId3184" Type="http://schemas.openxmlformats.org/officeDocument/2006/relationships/hyperlink" Target="https://maps.google.com/?q=17.904065452294923,-97.69699404632324" TargetMode="External"/><Relationship Id="rId23" Type="http://schemas.openxmlformats.org/officeDocument/2006/relationships/hyperlink" Target="https://maps.google.com/?q=15.98614086,-95.675604629999995" TargetMode="External"/><Relationship Id="rId1829" Type="http://schemas.openxmlformats.org/officeDocument/2006/relationships/hyperlink" Target="https://maps.google.com/?q=17.78203979,-96.30877721" TargetMode="External"/><Relationship Id="rId2298" Type="http://schemas.openxmlformats.org/officeDocument/2006/relationships/hyperlink" Target="https://maps.google.com/?q=17.267449,-97.680485000000004" TargetMode="External"/><Relationship Id="rId3044" Type="http://schemas.openxmlformats.org/officeDocument/2006/relationships/hyperlink" Target="https://maps.google.com/?q=16.4269394968299,-95.016575595071899" TargetMode="External"/><Relationship Id="rId3251" Type="http://schemas.openxmlformats.org/officeDocument/2006/relationships/hyperlink" Target="https://maps.google.com/?q=17.068498,-96.720205" TargetMode="External"/><Relationship Id="rId172" Type="http://schemas.openxmlformats.org/officeDocument/2006/relationships/hyperlink" Target="https://maps.google.com/?q=16.7824191116336,-96.582230046627501" TargetMode="External"/><Relationship Id="rId477" Type="http://schemas.openxmlformats.org/officeDocument/2006/relationships/hyperlink" Target="https://maps.google.com/?q=17.423089,-97.010589999999993" TargetMode="External"/><Relationship Id="rId684" Type="http://schemas.openxmlformats.org/officeDocument/2006/relationships/hyperlink" Target="https://maps.google.com/?q=17.2573439796113,-98.259241014022606" TargetMode="External"/><Relationship Id="rId2060" Type="http://schemas.openxmlformats.org/officeDocument/2006/relationships/hyperlink" Target="https://maps.google.com/?q=17.335316,-98.012051" TargetMode="External"/><Relationship Id="rId2158" Type="http://schemas.openxmlformats.org/officeDocument/2006/relationships/hyperlink" Target="https://maps.google.com/?q=17.806621,-97.776161999999999" TargetMode="External"/><Relationship Id="rId2365" Type="http://schemas.openxmlformats.org/officeDocument/2006/relationships/hyperlink" Target="https://maps.google.com/?q=17.501442,-98.142583999999999" TargetMode="External"/><Relationship Id="rId3111" Type="http://schemas.openxmlformats.org/officeDocument/2006/relationships/hyperlink" Target="https://maps.google.com/?q=16.4381143062834,-95.027372855635605" TargetMode="External"/><Relationship Id="rId3209" Type="http://schemas.openxmlformats.org/officeDocument/2006/relationships/hyperlink" Target="https://maps.google.com/?q=17.331248,-96.487900999999994" TargetMode="External"/><Relationship Id="rId337" Type="http://schemas.openxmlformats.org/officeDocument/2006/relationships/hyperlink" Target="https://maps.google.com/?q=16.518122431074,-97.7827224110451" TargetMode="External"/><Relationship Id="rId891" Type="http://schemas.openxmlformats.org/officeDocument/2006/relationships/hyperlink" Target="https://maps.google.com/?q=16.715564,-94.746095999999994" TargetMode="External"/><Relationship Id="rId989" Type="http://schemas.openxmlformats.org/officeDocument/2006/relationships/hyperlink" Target="https://maps.google.com/?q=17.379846,-96.161167000000006" TargetMode="External"/><Relationship Id="rId2018" Type="http://schemas.openxmlformats.org/officeDocument/2006/relationships/hyperlink" Target="https://maps.google.com/?q=16.519807,-96.983885000000001" TargetMode="External"/><Relationship Id="rId2572" Type="http://schemas.openxmlformats.org/officeDocument/2006/relationships/hyperlink" Target="https://maps.google.com/?q=16.387512948234168,-96.83973788228657" TargetMode="External"/><Relationship Id="rId2877" Type="http://schemas.openxmlformats.org/officeDocument/2006/relationships/hyperlink" Target="https://maps.google.com/?q=16.9974447201845,-97.511013341104402" TargetMode="External"/><Relationship Id="rId544" Type="http://schemas.openxmlformats.org/officeDocument/2006/relationships/hyperlink" Target="https://maps.google.com/?q=17.1780261938129,-97.726594169311596" TargetMode="External"/><Relationship Id="rId751" Type="http://schemas.openxmlformats.org/officeDocument/2006/relationships/hyperlink" Target="https://maps.google.com/?q=16.8169163578378,-95.118161862823101" TargetMode="External"/><Relationship Id="rId849" Type="http://schemas.openxmlformats.org/officeDocument/2006/relationships/hyperlink" Target="https://maps.google.com/?q=16.71377,-94.749960000000002" TargetMode="External"/><Relationship Id="rId1174" Type="http://schemas.openxmlformats.org/officeDocument/2006/relationships/hyperlink" Target="https://maps.google.com/?q=17.3831,-96.161878999999999" TargetMode="External"/><Relationship Id="rId1381" Type="http://schemas.openxmlformats.org/officeDocument/2006/relationships/hyperlink" Target="https://maps.google.com/?q=16.78803359,-96.917916809999994" TargetMode="External"/><Relationship Id="rId1479" Type="http://schemas.openxmlformats.org/officeDocument/2006/relationships/hyperlink" Target="https://maps.google.com/?q=16.78909204,-96.898955830000006" TargetMode="External"/><Relationship Id="rId1686" Type="http://schemas.openxmlformats.org/officeDocument/2006/relationships/hyperlink" Target="https://maps.google.com/?q=17.3989436811951,-97.921746682209005" TargetMode="External"/><Relationship Id="rId2225" Type="http://schemas.openxmlformats.org/officeDocument/2006/relationships/hyperlink" Target="https://maps.google.com/?q=16.332014,-95.231966" TargetMode="External"/><Relationship Id="rId2432" Type="http://schemas.openxmlformats.org/officeDocument/2006/relationships/hyperlink" Target="https://maps.google.com/?q=16.384043425183435,-96.836163401616503" TargetMode="External"/><Relationship Id="rId404" Type="http://schemas.openxmlformats.org/officeDocument/2006/relationships/hyperlink" Target="https://maps.google.com/?q=17.39946697,-96.927656720000002" TargetMode="External"/><Relationship Id="rId611" Type="http://schemas.openxmlformats.org/officeDocument/2006/relationships/hyperlink" Target="https://maps.google.com/?q=17.2737861251791,-98.268175999999997" TargetMode="External"/><Relationship Id="rId1034" Type="http://schemas.openxmlformats.org/officeDocument/2006/relationships/hyperlink" Target="https://maps.google.com/?q=17.380399,-96.161294999999996" TargetMode="External"/><Relationship Id="rId1241" Type="http://schemas.openxmlformats.org/officeDocument/2006/relationships/hyperlink" Target="https://maps.google.com/?q=16.77940887,-96.953050939999997" TargetMode="External"/><Relationship Id="rId1339" Type="http://schemas.openxmlformats.org/officeDocument/2006/relationships/hyperlink" Target="https://maps.google.com/?q=16.78732292,-96.895621210000002" TargetMode="External"/><Relationship Id="rId1893" Type="http://schemas.openxmlformats.org/officeDocument/2006/relationships/hyperlink" Target="https://maps.google.com/?q=16.279058,-97.820240999999996" TargetMode="External"/><Relationship Id="rId2737" Type="http://schemas.openxmlformats.org/officeDocument/2006/relationships/hyperlink" Target="https://maps.google.com/?q=18.0750300497566,-96.169291672349601" TargetMode="External"/><Relationship Id="rId2944" Type="http://schemas.openxmlformats.org/officeDocument/2006/relationships/hyperlink" Target="https://maps.google.com/?q=17.427805,-98.289373999999995" TargetMode="External"/><Relationship Id="rId709" Type="http://schemas.openxmlformats.org/officeDocument/2006/relationships/hyperlink" Target="https://maps.google.com/?q=17.2599568365615,-98.262576688326106" TargetMode="External"/><Relationship Id="rId916" Type="http://schemas.openxmlformats.org/officeDocument/2006/relationships/hyperlink" Target="https://maps.google.com/?q=16.6733088879181,-94.775775411045004" TargetMode="External"/><Relationship Id="rId1101" Type="http://schemas.openxmlformats.org/officeDocument/2006/relationships/hyperlink" Target="https://maps.google.com/?q=17.381127,-96.161766999999998" TargetMode="External"/><Relationship Id="rId1546" Type="http://schemas.openxmlformats.org/officeDocument/2006/relationships/hyperlink" Target="https://maps.google.com/?q=16.78962734,-96.919701110000005" TargetMode="External"/><Relationship Id="rId1753" Type="http://schemas.openxmlformats.org/officeDocument/2006/relationships/hyperlink" Target="https://maps.google.com/?q=17.307166,-96.898362000000006" TargetMode="External"/><Relationship Id="rId1960" Type="http://schemas.openxmlformats.org/officeDocument/2006/relationships/hyperlink" Target="https://maps.google.com/?q=16.791625,-96.674999" TargetMode="External"/><Relationship Id="rId2804" Type="http://schemas.openxmlformats.org/officeDocument/2006/relationships/hyperlink" Target="https://maps.google.com/?q=18.09805,-96.161045999999999" TargetMode="External"/><Relationship Id="rId45" Type="http://schemas.openxmlformats.org/officeDocument/2006/relationships/hyperlink" Target="https://maps.google.com/?q=16.9776343311589,-96.890974647134499" TargetMode="External"/><Relationship Id="rId1406" Type="http://schemas.openxmlformats.org/officeDocument/2006/relationships/hyperlink" Target="https://maps.google.com/?q=16.78845611,-96.893672390000006" TargetMode="External"/><Relationship Id="rId1613" Type="http://schemas.openxmlformats.org/officeDocument/2006/relationships/hyperlink" Target="https://maps.google.com/?q=17.102072957313418,-96.712586137810121" TargetMode="External"/><Relationship Id="rId1820" Type="http://schemas.openxmlformats.org/officeDocument/2006/relationships/hyperlink" Target="https://maps.google.com/?q=15.7739066,-96.143782799999997" TargetMode="External"/><Relationship Id="rId3066" Type="http://schemas.openxmlformats.org/officeDocument/2006/relationships/hyperlink" Target="https://maps.google.com/?q=16.4292429619417,-95.033578712519798" TargetMode="External"/><Relationship Id="rId3273" Type="http://schemas.openxmlformats.org/officeDocument/2006/relationships/hyperlink" Target="https://maps.google.com/?q=18.116836,-97.087593" TargetMode="External"/><Relationship Id="rId194" Type="http://schemas.openxmlformats.org/officeDocument/2006/relationships/hyperlink" Target="https://maps.google.com/?q=16.7836670113992,-96.585660716374505" TargetMode="External"/><Relationship Id="rId1918" Type="http://schemas.openxmlformats.org/officeDocument/2006/relationships/hyperlink" Target="https://maps.google.com/?q=17.806621,-97.776161999999999" TargetMode="External"/><Relationship Id="rId2082" Type="http://schemas.openxmlformats.org/officeDocument/2006/relationships/hyperlink" Target="https://maps.google.com/?q=16.950706,-96.750504000000006" TargetMode="External"/><Relationship Id="rId3133" Type="http://schemas.openxmlformats.org/officeDocument/2006/relationships/hyperlink" Target="https://maps.google.com/?q=16.4396610339838,-95.022236669840098" TargetMode="External"/><Relationship Id="rId261" Type="http://schemas.openxmlformats.org/officeDocument/2006/relationships/hyperlink" Target="https://maps.google.com/?q=16.9707814372934,-97.030848644180296" TargetMode="External"/><Relationship Id="rId499" Type="http://schemas.openxmlformats.org/officeDocument/2006/relationships/hyperlink" Target="https://maps.google.com/?q=17.430174739999998,-96.934522700000002" TargetMode="External"/><Relationship Id="rId2387" Type="http://schemas.openxmlformats.org/officeDocument/2006/relationships/hyperlink" Target="https://maps.google.com/?q=16.38213187586292,-96.841573601299643" TargetMode="External"/><Relationship Id="rId2594" Type="http://schemas.openxmlformats.org/officeDocument/2006/relationships/hyperlink" Target="https://maps.google.com/?q=16.394823706697764,-96.84210105007358" TargetMode="External"/><Relationship Id="rId359" Type="http://schemas.openxmlformats.org/officeDocument/2006/relationships/hyperlink" Target="https://maps.google.com/?q=16.499822,-97.781002999999998" TargetMode="External"/><Relationship Id="rId566" Type="http://schemas.openxmlformats.org/officeDocument/2006/relationships/hyperlink" Target="https://maps.google.com/?q=17.1757729717674,-98.194092341104493" TargetMode="External"/><Relationship Id="rId773" Type="http://schemas.openxmlformats.org/officeDocument/2006/relationships/hyperlink" Target="https://maps.google.com/?q=16.8230052080396,-95.117830682025996" TargetMode="External"/><Relationship Id="rId1196" Type="http://schemas.openxmlformats.org/officeDocument/2006/relationships/hyperlink" Target="https://maps.google.com/?q=17.103459,%20-96.774484" TargetMode="External"/><Relationship Id="rId2247" Type="http://schemas.openxmlformats.org/officeDocument/2006/relationships/hyperlink" Target="https://maps.google.com/?q=17.801687,-96.959688" TargetMode="External"/><Relationship Id="rId2454" Type="http://schemas.openxmlformats.org/officeDocument/2006/relationships/hyperlink" Target="https://maps.google.com/?q=16.384443757902112,-96.836997688056698" TargetMode="External"/><Relationship Id="rId2899" Type="http://schemas.openxmlformats.org/officeDocument/2006/relationships/hyperlink" Target="https://maps.google.com/?q=17.3213184923067,-98.2379320292005" TargetMode="External"/><Relationship Id="rId3200" Type="http://schemas.openxmlformats.org/officeDocument/2006/relationships/hyperlink" Target="https://maps.google.com/?q=16.791625,-96.674999" TargetMode="External"/><Relationship Id="rId121" Type="http://schemas.openxmlformats.org/officeDocument/2006/relationships/hyperlink" Target="https://maps.google.com/?q=16.9588774699641,-96.897913629465094" TargetMode="External"/><Relationship Id="rId219" Type="http://schemas.openxmlformats.org/officeDocument/2006/relationships/hyperlink" Target="https://maps.google.com/?q=16.7861957611289,-96.579774246385995" TargetMode="External"/><Relationship Id="rId426" Type="http://schemas.openxmlformats.org/officeDocument/2006/relationships/hyperlink" Target="https://maps.google.com/?q=17.4064451981,-96.928956093254001" TargetMode="External"/><Relationship Id="rId633" Type="http://schemas.openxmlformats.org/officeDocument/2006/relationships/hyperlink" Target="https://maps.google.com/?q=17.2799250027147,-98.281366000000006" TargetMode="External"/><Relationship Id="rId980" Type="http://schemas.openxmlformats.org/officeDocument/2006/relationships/hyperlink" Target="https://maps.google.com/?q=17.379732,-96.161220999999998" TargetMode="External"/><Relationship Id="rId1056" Type="http://schemas.openxmlformats.org/officeDocument/2006/relationships/hyperlink" Target="https://maps.google.com/?q=17.380614,-96.162818000000001" TargetMode="External"/><Relationship Id="rId1263" Type="http://schemas.openxmlformats.org/officeDocument/2006/relationships/hyperlink" Target="https://maps.google.com/?q=16.78156387,-96.948953939999996" TargetMode="External"/><Relationship Id="rId2107" Type="http://schemas.openxmlformats.org/officeDocument/2006/relationships/hyperlink" Target="https://maps.google.com/?q=16.500512,-96.106790000000004" TargetMode="External"/><Relationship Id="rId2314" Type="http://schemas.openxmlformats.org/officeDocument/2006/relationships/hyperlink" Target="https://maps.google.com/?q=16.328751,-96.596529000000004" TargetMode="External"/><Relationship Id="rId2661" Type="http://schemas.openxmlformats.org/officeDocument/2006/relationships/hyperlink" Target="https://maps.google.com/?q=18.0293089486947,-96.156422441257305" TargetMode="External"/><Relationship Id="rId2759" Type="http://schemas.openxmlformats.org/officeDocument/2006/relationships/hyperlink" Target="https://maps.google.com/?q=18.0830523301609,-96.164478542327899" TargetMode="External"/><Relationship Id="rId2966" Type="http://schemas.openxmlformats.org/officeDocument/2006/relationships/hyperlink" Target="https://maps.google.com/?q=17.4313039099357,-98.290538271163996" TargetMode="External"/><Relationship Id="rId840" Type="http://schemas.openxmlformats.org/officeDocument/2006/relationships/hyperlink" Target="https://maps.google.com/?q=16.71325671,-94.747181429999998" TargetMode="External"/><Relationship Id="rId938" Type="http://schemas.openxmlformats.org/officeDocument/2006/relationships/hyperlink" Target="https://maps.google.com/?q=16.6774244643249,-94.774806107923396" TargetMode="External"/><Relationship Id="rId1470" Type="http://schemas.openxmlformats.org/officeDocument/2006/relationships/hyperlink" Target="https://maps.google.com/?q=16.78905481,-96.891376109999996" TargetMode="External"/><Relationship Id="rId1568" Type="http://schemas.openxmlformats.org/officeDocument/2006/relationships/hyperlink" Target="https://maps.google.com/?q=16.789821103228086,-96.899992676759666" TargetMode="External"/><Relationship Id="rId1775" Type="http://schemas.openxmlformats.org/officeDocument/2006/relationships/hyperlink" Target="https://maps.google.com/?q=15.7730034,-96.140643499999996" TargetMode="External"/><Relationship Id="rId2521" Type="http://schemas.openxmlformats.org/officeDocument/2006/relationships/hyperlink" Target="https://maps.google.com/?q=16.385727146028874,-96.840043470239465" TargetMode="External"/><Relationship Id="rId2619" Type="http://schemas.openxmlformats.org/officeDocument/2006/relationships/hyperlink" Target="https://maps.google.com/?q=18.1022523326661,-96.103475200901002" TargetMode="External"/><Relationship Id="rId2826" Type="http://schemas.openxmlformats.org/officeDocument/2006/relationships/hyperlink" Target="https://maps.google.com/?q=17.0151308403705,-97.498299411045096" TargetMode="External"/><Relationship Id="rId67" Type="http://schemas.openxmlformats.org/officeDocument/2006/relationships/hyperlink" Target="https://maps.google.com/?q=16.9832835255642,-96.891090510416305" TargetMode="External"/><Relationship Id="rId700" Type="http://schemas.openxmlformats.org/officeDocument/2006/relationships/hyperlink" Target="https://maps.google.com/?q=17.2590558631798,-98.262118158751505" TargetMode="External"/><Relationship Id="rId1123" Type="http://schemas.openxmlformats.org/officeDocument/2006/relationships/hyperlink" Target="https://maps.google.com/?q=17.381489,-96.161598999999995" TargetMode="External"/><Relationship Id="rId1330" Type="http://schemas.openxmlformats.org/officeDocument/2006/relationships/hyperlink" Target="https://maps.google.com/?q=16.7870675,-96.91213071" TargetMode="External"/><Relationship Id="rId1428" Type="http://schemas.openxmlformats.org/officeDocument/2006/relationships/hyperlink" Target="https://maps.google.com/?q=16.78868161,-96.894468140000001" TargetMode="External"/><Relationship Id="rId1635" Type="http://schemas.openxmlformats.org/officeDocument/2006/relationships/hyperlink" Target="https://maps.google.com/?q=17.24551314,-97.792140000000003" TargetMode="External"/><Relationship Id="rId1982" Type="http://schemas.openxmlformats.org/officeDocument/2006/relationships/hyperlink" Target="https://maps.google.com/?q=16.237076,-97.292351999999994" TargetMode="External"/><Relationship Id="rId3088" Type="http://schemas.openxmlformats.org/officeDocument/2006/relationships/hyperlink" Target="https://maps.google.com/?q=16.4325464598581,-95.014521240809998" TargetMode="External"/><Relationship Id="rId1842" Type="http://schemas.openxmlformats.org/officeDocument/2006/relationships/hyperlink" Target="https://maps.google.com/?q=17.881486,-96.613845" TargetMode="External"/><Relationship Id="rId3295" Type="http://schemas.openxmlformats.org/officeDocument/2006/relationships/drawing" Target="../drawings/drawing2.xml"/><Relationship Id="rId1702" Type="http://schemas.openxmlformats.org/officeDocument/2006/relationships/hyperlink" Target="https://maps.google.com/?q=17.3104951344939,-97.942373808009293" TargetMode="External"/><Relationship Id="rId3155" Type="http://schemas.openxmlformats.org/officeDocument/2006/relationships/hyperlink" Target="https://maps.google.com/?q=16.44394118,-95.033478009999996" TargetMode="External"/><Relationship Id="rId283" Type="http://schemas.openxmlformats.org/officeDocument/2006/relationships/hyperlink" Target="https://maps.google.com/?q=16.6122254323457,-97.786787186747404" TargetMode="External"/><Relationship Id="rId490" Type="http://schemas.openxmlformats.org/officeDocument/2006/relationships/hyperlink" Target="https://maps.google.com/?q=17.28994255,-96.899724019999994" TargetMode="External"/><Relationship Id="rId2171" Type="http://schemas.openxmlformats.org/officeDocument/2006/relationships/hyperlink" Target="https://maps.google.com/?q=16.866371,-96.785623000000001" TargetMode="External"/><Relationship Id="rId3015" Type="http://schemas.openxmlformats.org/officeDocument/2006/relationships/hyperlink" Target="https://maps.google.com/?q=16.425022262716,-95.029773755383005" TargetMode="External"/><Relationship Id="rId3222" Type="http://schemas.openxmlformats.org/officeDocument/2006/relationships/hyperlink" Target="https://maps.google.com/?q=16.237076,-97.292351999999994" TargetMode="External"/><Relationship Id="rId143" Type="http://schemas.openxmlformats.org/officeDocument/2006/relationships/hyperlink" Target="https://maps.google.com/?q=16.7805243587546,-96.578685550926195" TargetMode="External"/><Relationship Id="rId350" Type="http://schemas.openxmlformats.org/officeDocument/2006/relationships/hyperlink" Target="https://maps.google.com/?q=16.4992040916456,-97.780742064730504" TargetMode="External"/><Relationship Id="rId588" Type="http://schemas.openxmlformats.org/officeDocument/2006/relationships/hyperlink" Target="https://maps.google.com/?q=17.2709372833493,-98.277494658895506" TargetMode="External"/><Relationship Id="rId795" Type="http://schemas.openxmlformats.org/officeDocument/2006/relationships/hyperlink" Target="https://maps.google.com/?q=16.8934045691531,-95.036192728836198" TargetMode="External"/><Relationship Id="rId2031" Type="http://schemas.openxmlformats.org/officeDocument/2006/relationships/hyperlink" Target="https://maps.google.com/?q=17.33873,-96.152553999999995" TargetMode="External"/><Relationship Id="rId2269" Type="http://schemas.openxmlformats.org/officeDocument/2006/relationships/hyperlink" Target="https://maps.google.com/?q=17.331248,-96.487900999999994" TargetMode="External"/><Relationship Id="rId2476" Type="http://schemas.openxmlformats.org/officeDocument/2006/relationships/hyperlink" Target="https://maps.google.com/?q=16.384820283190223,-96.843778148743056" TargetMode="External"/><Relationship Id="rId2683" Type="http://schemas.openxmlformats.org/officeDocument/2006/relationships/hyperlink" Target="https://maps.google.com/?q=18.0525552582292,-96.138464264906304" TargetMode="External"/><Relationship Id="rId2890" Type="http://schemas.openxmlformats.org/officeDocument/2006/relationships/hyperlink" Target="https://maps.google.com/?q=17.3201102775855,-98.240366" TargetMode="External"/><Relationship Id="rId9" Type="http://schemas.openxmlformats.org/officeDocument/2006/relationships/hyperlink" Target="https://maps.google.com/?q=17.068498,-96.720205" TargetMode="External"/><Relationship Id="rId210" Type="http://schemas.openxmlformats.org/officeDocument/2006/relationships/hyperlink" Target="https://maps.google.com/?q=16.7846256288819,-96.585815828499307" TargetMode="External"/><Relationship Id="rId448" Type="http://schemas.openxmlformats.org/officeDocument/2006/relationships/hyperlink" Target="https://maps.google.com/?q=17.4129602,-96.930508000000003" TargetMode="External"/><Relationship Id="rId655" Type="http://schemas.openxmlformats.org/officeDocument/2006/relationships/hyperlink" Target="https://maps.google.com/?q=17.22185393,-98.193632930000007" TargetMode="External"/><Relationship Id="rId862" Type="http://schemas.openxmlformats.org/officeDocument/2006/relationships/hyperlink" Target="https://maps.google.com/?q=16.714301,-94.746328000000005" TargetMode="External"/><Relationship Id="rId1078" Type="http://schemas.openxmlformats.org/officeDocument/2006/relationships/hyperlink" Target="https://maps.google.com/?q=17.380902,-96.160726999999994" TargetMode="External"/><Relationship Id="rId1285" Type="http://schemas.openxmlformats.org/officeDocument/2006/relationships/hyperlink" Target="https://maps.google.com/?q=16.78305679,-96.940315839999997" TargetMode="External"/><Relationship Id="rId1492" Type="http://schemas.openxmlformats.org/officeDocument/2006/relationships/hyperlink" Target="https://maps.google.com/?q=16.78916581,-96.899042170000001" TargetMode="External"/><Relationship Id="rId2129" Type="http://schemas.openxmlformats.org/officeDocument/2006/relationships/hyperlink" Target="https://maps.google.com/?q=18.081169,-96.118475000000004" TargetMode="External"/><Relationship Id="rId2336" Type="http://schemas.openxmlformats.org/officeDocument/2006/relationships/hyperlink" Target="https://maps.google.com/?q=17.724615,-97.323898" TargetMode="External"/><Relationship Id="rId2543" Type="http://schemas.openxmlformats.org/officeDocument/2006/relationships/hyperlink" Target="https://maps.google.com/?q=16.38660961844052,-96.837859228540012" TargetMode="External"/><Relationship Id="rId2750" Type="http://schemas.openxmlformats.org/officeDocument/2006/relationships/hyperlink" Target="https://maps.google.com/?q=18.0811059931394,-96.176004618385406" TargetMode="External"/><Relationship Id="rId2988" Type="http://schemas.openxmlformats.org/officeDocument/2006/relationships/hyperlink" Target="https://maps.google.com/?q=16.4154171078709,-95.025945626358805" TargetMode="External"/><Relationship Id="rId308" Type="http://schemas.openxmlformats.org/officeDocument/2006/relationships/hyperlink" Target="https://maps.google.com/?q=16.617087717508,-97.792125635581996" TargetMode="External"/><Relationship Id="rId515" Type="http://schemas.openxmlformats.org/officeDocument/2006/relationships/hyperlink" Target="https://maps.google.com/?q=17.1459559276226,-97.696595364418002" TargetMode="External"/><Relationship Id="rId722" Type="http://schemas.openxmlformats.org/officeDocument/2006/relationships/hyperlink" Target="https://maps.google.com/?q=17.2617258448121,-98.265454341104501" TargetMode="External"/><Relationship Id="rId1145" Type="http://schemas.openxmlformats.org/officeDocument/2006/relationships/hyperlink" Target="https://maps.google.com/?q=17.381862,-96.160167999999999" TargetMode="External"/><Relationship Id="rId1352" Type="http://schemas.openxmlformats.org/officeDocument/2006/relationships/hyperlink" Target="https://maps.google.com/?q=16.78758048,-96.897243309999993" TargetMode="External"/><Relationship Id="rId1797" Type="http://schemas.openxmlformats.org/officeDocument/2006/relationships/hyperlink" Target="https://maps.google.com/?q=15.773243,-96.137849399999993" TargetMode="External"/><Relationship Id="rId2403" Type="http://schemas.openxmlformats.org/officeDocument/2006/relationships/hyperlink" Target="https://maps.google.com/?q=16.383080935229493,-96.844848016057043" TargetMode="External"/><Relationship Id="rId2848" Type="http://schemas.openxmlformats.org/officeDocument/2006/relationships/hyperlink" Target="https://maps.google.com/?q=17.03912953824,-97.509194899999898" TargetMode="External"/><Relationship Id="rId89" Type="http://schemas.openxmlformats.org/officeDocument/2006/relationships/hyperlink" Target="https://maps.google.com/?q=17.0092400305799,-96.890323771827696" TargetMode="External"/><Relationship Id="rId1005" Type="http://schemas.openxmlformats.org/officeDocument/2006/relationships/hyperlink" Target="https://maps.google.com/?q=17.380065,-96.160246999999998" TargetMode="External"/><Relationship Id="rId1212" Type="http://schemas.openxmlformats.org/officeDocument/2006/relationships/hyperlink" Target="https://maps.google.com/?q=17.104458,%20-96.778382" TargetMode="External"/><Relationship Id="rId1657" Type="http://schemas.openxmlformats.org/officeDocument/2006/relationships/hyperlink" Target="https://maps.google.com/?q=17.335801,-97.881482000000005" TargetMode="External"/><Relationship Id="rId1864" Type="http://schemas.openxmlformats.org/officeDocument/2006/relationships/hyperlink" Target="https://maps.google.com/?q=16.328751,-96.596529000000004" TargetMode="External"/><Relationship Id="rId2610" Type="http://schemas.openxmlformats.org/officeDocument/2006/relationships/hyperlink" Target="https://maps.google.com/?q=17.176396,-97.726623" TargetMode="External"/><Relationship Id="rId2708" Type="http://schemas.openxmlformats.org/officeDocument/2006/relationships/hyperlink" Target="https://maps.google.com/?q=18.0609083507381,-96.144510985284896" TargetMode="External"/><Relationship Id="rId2915" Type="http://schemas.openxmlformats.org/officeDocument/2006/relationships/hyperlink" Target="https://maps.google.com/?q=17.33378,-98.167548999999994" TargetMode="External"/><Relationship Id="rId1517" Type="http://schemas.openxmlformats.org/officeDocument/2006/relationships/hyperlink" Target="https://maps.google.com/?q=16.78933324,-96.905214180000002" TargetMode="External"/><Relationship Id="rId1724" Type="http://schemas.openxmlformats.org/officeDocument/2006/relationships/hyperlink" Target="https://maps.google.com/?q=16.788396,-96.791098000000005" TargetMode="External"/><Relationship Id="rId3177" Type="http://schemas.openxmlformats.org/officeDocument/2006/relationships/hyperlink" Target="https://maps.google.com/?q=16.45691667,-95.019933010000003" TargetMode="External"/><Relationship Id="rId16" Type="http://schemas.openxmlformats.org/officeDocument/2006/relationships/hyperlink" Target="https://maps.google.com/?q=15.9805899,-95.67629694" TargetMode="External"/><Relationship Id="rId1931" Type="http://schemas.openxmlformats.org/officeDocument/2006/relationships/hyperlink" Target="https://maps.google.com/?q=16.866371,-96.785623000000001" TargetMode="External"/><Relationship Id="rId3037" Type="http://schemas.openxmlformats.org/officeDocument/2006/relationships/hyperlink" Target="https://maps.google.com/?q=16.4263453071431,-95.021726267781503" TargetMode="External"/><Relationship Id="rId2193" Type="http://schemas.openxmlformats.org/officeDocument/2006/relationships/hyperlink" Target="https://maps.google.com/?q=16.279058,-97.820240999999996" TargetMode="External"/><Relationship Id="rId2498" Type="http://schemas.openxmlformats.org/officeDocument/2006/relationships/hyperlink" Target="https://maps.google.com/?q=16.385314407217795,-96.83895826998112" TargetMode="External"/><Relationship Id="rId3244" Type="http://schemas.openxmlformats.org/officeDocument/2006/relationships/hyperlink" Target="https://maps.google.com/?q=17.501442,-98.142583999999999" TargetMode="External"/><Relationship Id="rId165" Type="http://schemas.openxmlformats.org/officeDocument/2006/relationships/hyperlink" Target="https://maps.google.com/?q=16.782154112536,-96.5808601177893" TargetMode="External"/><Relationship Id="rId372" Type="http://schemas.openxmlformats.org/officeDocument/2006/relationships/hyperlink" Target="https://maps.google.com/?q=16.500771,-97.781340999999998" TargetMode="External"/><Relationship Id="rId677" Type="http://schemas.openxmlformats.org/officeDocument/2006/relationships/hyperlink" Target="https://maps.google.com/?q=17.25686982158,-98.260167677246201" TargetMode="External"/><Relationship Id="rId2053" Type="http://schemas.openxmlformats.org/officeDocument/2006/relationships/hyperlink" Target="https://maps.google.com/?q=16.95558,-96.479206000000005" TargetMode="External"/><Relationship Id="rId2260" Type="http://schemas.openxmlformats.org/officeDocument/2006/relationships/hyperlink" Target="https://maps.google.com/?q=16.791625,-96.674999" TargetMode="External"/><Relationship Id="rId2358" Type="http://schemas.openxmlformats.org/officeDocument/2006/relationships/hyperlink" Target="https://maps.google.com/?q=17.207464,-96.801094000000006" TargetMode="External"/><Relationship Id="rId3104" Type="http://schemas.openxmlformats.org/officeDocument/2006/relationships/hyperlink" Target="https://maps.google.com/?q=16.4368338967232,-95.023085128985002" TargetMode="External"/><Relationship Id="rId232" Type="http://schemas.openxmlformats.org/officeDocument/2006/relationships/hyperlink" Target="https://maps.google.com/?q=16.9803159106218,-97.056776813313704" TargetMode="External"/><Relationship Id="rId884" Type="http://schemas.openxmlformats.org/officeDocument/2006/relationships/hyperlink" Target="https://maps.google.com/?q=16.715327,-94.748041700000002" TargetMode="External"/><Relationship Id="rId2120" Type="http://schemas.openxmlformats.org/officeDocument/2006/relationships/hyperlink" Target="https://maps.google.com/?q=17.335316,-98.012051" TargetMode="External"/><Relationship Id="rId2565" Type="http://schemas.openxmlformats.org/officeDocument/2006/relationships/hyperlink" Target="https://maps.google.com/?q=16.38736264774354,-96.839372061602802" TargetMode="External"/><Relationship Id="rId2772" Type="http://schemas.openxmlformats.org/officeDocument/2006/relationships/hyperlink" Target="https://maps.google.com/?q=18.0842707778611,-96.164803014563304" TargetMode="External"/><Relationship Id="rId537" Type="http://schemas.openxmlformats.org/officeDocument/2006/relationships/hyperlink" Target="https://maps.google.com/?q=17.1498024310558,-97.702604868717202" TargetMode="External"/><Relationship Id="rId744" Type="http://schemas.openxmlformats.org/officeDocument/2006/relationships/hyperlink" Target="https://maps.google.com/?q=16.8819298877064,-95.028525559524496" TargetMode="External"/><Relationship Id="rId951" Type="http://schemas.openxmlformats.org/officeDocument/2006/relationships/hyperlink" Target="https://maps.google.com/?q=16.6806050160257,-94.773392256448702" TargetMode="External"/><Relationship Id="rId1167" Type="http://schemas.openxmlformats.org/officeDocument/2006/relationships/hyperlink" Target="https://maps.google.com/?q=17.382432,-96.162813999999997" TargetMode="External"/><Relationship Id="rId1374" Type="http://schemas.openxmlformats.org/officeDocument/2006/relationships/hyperlink" Target="https://maps.google.com/?q=16.78795053,-96.896657160000004" TargetMode="External"/><Relationship Id="rId1581" Type="http://schemas.openxmlformats.org/officeDocument/2006/relationships/hyperlink" Target="https://maps.google.com/?q=16.78993108,-96.893941350000006" TargetMode="External"/><Relationship Id="rId1679" Type="http://schemas.openxmlformats.org/officeDocument/2006/relationships/hyperlink" Target="https://maps.google.com/?q=17.3831881221465,-97.909231317790997" TargetMode="External"/><Relationship Id="rId2218" Type="http://schemas.openxmlformats.org/officeDocument/2006/relationships/hyperlink" Target="https://maps.google.com/?q=17.806621,-97.776161999999999" TargetMode="External"/><Relationship Id="rId2425" Type="http://schemas.openxmlformats.org/officeDocument/2006/relationships/hyperlink" Target="https://maps.google.com/?q=16.383907908902724,-96.841593856249816" TargetMode="External"/><Relationship Id="rId2632" Type="http://schemas.openxmlformats.org/officeDocument/2006/relationships/hyperlink" Target="https://maps.google.com/?q=17.9855699631038,-96.099949845403799" TargetMode="External"/><Relationship Id="rId80" Type="http://schemas.openxmlformats.org/officeDocument/2006/relationships/hyperlink" Target="https://maps.google.com/?q=17.0185376325051,-96.863970813433298" TargetMode="External"/><Relationship Id="rId604" Type="http://schemas.openxmlformats.org/officeDocument/2006/relationships/hyperlink" Target="https://maps.google.com/?q=17.2730068027971,-98.273605941773596" TargetMode="External"/><Relationship Id="rId811" Type="http://schemas.openxmlformats.org/officeDocument/2006/relationships/hyperlink" Target="https://maps.google.com/?q=16.8799932860102,-95.051213023313395" TargetMode="External"/><Relationship Id="rId1027" Type="http://schemas.openxmlformats.org/officeDocument/2006/relationships/hyperlink" Target="https://maps.google.com/?q=17.38034,-96.160368000000005" TargetMode="External"/><Relationship Id="rId1234" Type="http://schemas.openxmlformats.org/officeDocument/2006/relationships/hyperlink" Target="https://maps.google.com/?q=17.10385184,-96.775958022" TargetMode="External"/><Relationship Id="rId1441" Type="http://schemas.openxmlformats.org/officeDocument/2006/relationships/hyperlink" Target="https://maps.google.com/?q=16.78877607,-96.917993510000002" TargetMode="External"/><Relationship Id="rId1886" Type="http://schemas.openxmlformats.org/officeDocument/2006/relationships/hyperlink" Target="https://maps.google.com/?q=17.724615,-97.323898" TargetMode="External"/><Relationship Id="rId2937" Type="http://schemas.openxmlformats.org/officeDocument/2006/relationships/hyperlink" Target="https://maps.google.com/?q=17.3379,-98.170090999999999" TargetMode="External"/><Relationship Id="rId909" Type="http://schemas.openxmlformats.org/officeDocument/2006/relationships/hyperlink" Target="https://maps.google.com/?q=16.71663,-94.745743000000004" TargetMode="External"/><Relationship Id="rId1301" Type="http://schemas.openxmlformats.org/officeDocument/2006/relationships/hyperlink" Target="https://maps.google.com/?q=16.78623924,-96.928378559999999" TargetMode="External"/><Relationship Id="rId1539" Type="http://schemas.openxmlformats.org/officeDocument/2006/relationships/hyperlink" Target="https://maps.google.com/?q=16.78956024,-96.905865370000001" TargetMode="External"/><Relationship Id="rId1746" Type="http://schemas.openxmlformats.org/officeDocument/2006/relationships/hyperlink" Target="https://maps.google.com/?q=16.332769,-96.592759000000001" TargetMode="External"/><Relationship Id="rId1953" Type="http://schemas.openxmlformats.org/officeDocument/2006/relationships/hyperlink" Target="https://maps.google.com/?q=16.279058,-97.820240999999996" TargetMode="External"/><Relationship Id="rId3199" Type="http://schemas.openxmlformats.org/officeDocument/2006/relationships/hyperlink" Target="https://maps.google.com/?q=16.564244,-96.731829000000005" TargetMode="External"/><Relationship Id="rId38" Type="http://schemas.openxmlformats.org/officeDocument/2006/relationships/hyperlink" Target="https://maps.google.com/?q=15.98946191,-95.676935540000002" TargetMode="External"/><Relationship Id="rId1606" Type="http://schemas.openxmlformats.org/officeDocument/2006/relationships/hyperlink" Target="https://maps.google.com/?q=16.79047674,-96.902386379999996" TargetMode="External"/><Relationship Id="rId1813" Type="http://schemas.openxmlformats.org/officeDocument/2006/relationships/hyperlink" Target="https://maps.google.com/?q=15.7736344,-96.142552600000002" TargetMode="External"/><Relationship Id="rId3059" Type="http://schemas.openxmlformats.org/officeDocument/2006/relationships/hyperlink" Target="https://maps.google.com/?q=16.4285437647408,-95.014790485567403" TargetMode="External"/><Relationship Id="rId3266" Type="http://schemas.openxmlformats.org/officeDocument/2006/relationships/hyperlink" Target="https://maps.google.com/?q=16.401725,-96.594134" TargetMode="External"/><Relationship Id="rId187" Type="http://schemas.openxmlformats.org/officeDocument/2006/relationships/hyperlink" Target="https://maps.google.com/?q=16.7832689418893,-96.583618416584997" TargetMode="External"/><Relationship Id="rId394" Type="http://schemas.openxmlformats.org/officeDocument/2006/relationships/hyperlink" Target="https://maps.google.com/?q=16.491998,-97.581384999999997" TargetMode="External"/><Relationship Id="rId2075" Type="http://schemas.openxmlformats.org/officeDocument/2006/relationships/hyperlink" Target="https://maps.google.com/?q=16.332014,-95.231966" TargetMode="External"/><Relationship Id="rId2282" Type="http://schemas.openxmlformats.org/officeDocument/2006/relationships/hyperlink" Target="https://maps.google.com/?q=16.237076,-97.292351999999994" TargetMode="External"/><Relationship Id="rId3126" Type="http://schemas.openxmlformats.org/officeDocument/2006/relationships/hyperlink" Target="https://maps.google.com/?q=16.4393865765102,-95.007935864805802" TargetMode="External"/><Relationship Id="rId254" Type="http://schemas.openxmlformats.org/officeDocument/2006/relationships/hyperlink" Target="https://maps.google.com/?q=16.968860740962,-97.030993046627003" TargetMode="External"/><Relationship Id="rId699" Type="http://schemas.openxmlformats.org/officeDocument/2006/relationships/hyperlink" Target="https://maps.google.com/?q=17.259038967743,-98.259208341104497" TargetMode="External"/><Relationship Id="rId1091" Type="http://schemas.openxmlformats.org/officeDocument/2006/relationships/hyperlink" Target="https://maps.google.com/?q=17.38104,-96.162854999999993" TargetMode="External"/><Relationship Id="rId2587" Type="http://schemas.openxmlformats.org/officeDocument/2006/relationships/hyperlink" Target="https://maps.google.com/?q=16.394026204321612,-96.84449571100329" TargetMode="External"/><Relationship Id="rId2794" Type="http://schemas.openxmlformats.org/officeDocument/2006/relationships/hyperlink" Target="https://maps.google.com/?q=18.0962447598087,-96.159885425760294" TargetMode="External"/><Relationship Id="rId114" Type="http://schemas.openxmlformats.org/officeDocument/2006/relationships/hyperlink" Target="https://maps.google.com/?q=16.9518310735079,-96.893917798776599" TargetMode="External"/><Relationship Id="rId461" Type="http://schemas.openxmlformats.org/officeDocument/2006/relationships/hyperlink" Target="https://maps.google.com/?q=17.4137915,-96.930649000000003" TargetMode="External"/><Relationship Id="rId559" Type="http://schemas.openxmlformats.org/officeDocument/2006/relationships/hyperlink" Target="https://maps.google.com/?q=17.1748965653007,-98.195617341104494" TargetMode="External"/><Relationship Id="rId766" Type="http://schemas.openxmlformats.org/officeDocument/2006/relationships/hyperlink" Target="https://maps.google.com/?q=16.8202785889099,-95.119367587791004" TargetMode="External"/><Relationship Id="rId1189" Type="http://schemas.openxmlformats.org/officeDocument/2006/relationships/hyperlink" Target="https://maps.google.com/?q=17.101672,%20-96.772640" TargetMode="External"/><Relationship Id="rId1396" Type="http://schemas.openxmlformats.org/officeDocument/2006/relationships/hyperlink" Target="https://maps.google.com/?q=16.78829382,-96.900118599999999" TargetMode="External"/><Relationship Id="rId2142" Type="http://schemas.openxmlformats.org/officeDocument/2006/relationships/hyperlink" Target="https://maps.google.com/?q=16.950706,-96.750504000000006" TargetMode="External"/><Relationship Id="rId2447" Type="http://schemas.openxmlformats.org/officeDocument/2006/relationships/hyperlink" Target="https://maps.google.com/?q=16.384350337740905,-96.843638216748033" TargetMode="External"/><Relationship Id="rId321" Type="http://schemas.openxmlformats.org/officeDocument/2006/relationships/hyperlink" Target="https://maps.google.com/?q=16.5139241982555,-97.779876876623305" TargetMode="External"/><Relationship Id="rId419" Type="http://schemas.openxmlformats.org/officeDocument/2006/relationships/hyperlink" Target="https://maps.google.com/?q=17.4028252333756,-96.930111457672098" TargetMode="External"/><Relationship Id="rId626" Type="http://schemas.openxmlformats.org/officeDocument/2006/relationships/hyperlink" Target="https://maps.google.com/?q=17.278056283301,-98.279956023313503" TargetMode="External"/><Relationship Id="rId973" Type="http://schemas.openxmlformats.org/officeDocument/2006/relationships/hyperlink" Target="https://maps.google.com/?q=17.379419,-96.161631999999997" TargetMode="External"/><Relationship Id="rId1049" Type="http://schemas.openxmlformats.org/officeDocument/2006/relationships/hyperlink" Target="https://maps.google.com/?q=17.380544,-96.160584" TargetMode="External"/><Relationship Id="rId1256" Type="http://schemas.openxmlformats.org/officeDocument/2006/relationships/hyperlink" Target="https://maps.google.com/?q=16.78108487,-96.949113940000004" TargetMode="External"/><Relationship Id="rId2002" Type="http://schemas.openxmlformats.org/officeDocument/2006/relationships/hyperlink" Target="https://maps.google.com/?q=17.361766,-95.922253999999995" TargetMode="External"/><Relationship Id="rId2307" Type="http://schemas.openxmlformats.org/officeDocument/2006/relationships/hyperlink" Target="https://maps.google.com/?q=17.801687,-96.959688" TargetMode="External"/><Relationship Id="rId2654" Type="http://schemas.openxmlformats.org/officeDocument/2006/relationships/hyperlink" Target="https://maps.google.com/?q=18.1247401944429,-96.001563607105496" TargetMode="External"/><Relationship Id="rId2861" Type="http://schemas.openxmlformats.org/officeDocument/2006/relationships/hyperlink" Target="https://maps.google.com/?q=17.0104366215603,-97.464756469328805" TargetMode="External"/><Relationship Id="rId2959" Type="http://schemas.openxmlformats.org/officeDocument/2006/relationships/hyperlink" Target="https://maps.google.com/?q=17.43093,-98.290046" TargetMode="External"/><Relationship Id="rId833" Type="http://schemas.openxmlformats.org/officeDocument/2006/relationships/hyperlink" Target="https://maps.google.com/?q=16.712974,-94.748219000000006" TargetMode="External"/><Relationship Id="rId1116" Type="http://schemas.openxmlformats.org/officeDocument/2006/relationships/hyperlink" Target="https://maps.google.com/?q=17.381361,-96.161036999999993" TargetMode="External"/><Relationship Id="rId1463" Type="http://schemas.openxmlformats.org/officeDocument/2006/relationships/hyperlink" Target="https://maps.google.com/?q=16.78896662,-96.910813219999994" TargetMode="External"/><Relationship Id="rId1670" Type="http://schemas.openxmlformats.org/officeDocument/2006/relationships/hyperlink" Target="https://maps.google.com/?q=17.26032541,-97.890893271163904" TargetMode="External"/><Relationship Id="rId1768" Type="http://schemas.openxmlformats.org/officeDocument/2006/relationships/hyperlink" Target="https://maps.google.com/?q=17.311021,-96.911871000000005" TargetMode="External"/><Relationship Id="rId2514" Type="http://schemas.openxmlformats.org/officeDocument/2006/relationships/hyperlink" Target="https://maps.google.com/?q=16.385541311184713,-96.843481937051195" TargetMode="External"/><Relationship Id="rId2721" Type="http://schemas.openxmlformats.org/officeDocument/2006/relationships/hyperlink" Target="https://maps.google.com/?q=18.062624,-96.140898000000007" TargetMode="External"/><Relationship Id="rId2819" Type="http://schemas.openxmlformats.org/officeDocument/2006/relationships/hyperlink" Target="https://maps.google.com/?q=17.0143917195528,-97.499789799455897" TargetMode="External"/><Relationship Id="rId900" Type="http://schemas.openxmlformats.org/officeDocument/2006/relationships/hyperlink" Target="https://maps.google.com/?q=16.71591,-94.746002000000004" TargetMode="External"/><Relationship Id="rId1323" Type="http://schemas.openxmlformats.org/officeDocument/2006/relationships/hyperlink" Target="https://maps.google.com/?q=16.7868967,-96.899251250000006" TargetMode="External"/><Relationship Id="rId1530" Type="http://schemas.openxmlformats.org/officeDocument/2006/relationships/hyperlink" Target="https://maps.google.com/?q=16.78950486,-96.905181850000005" TargetMode="External"/><Relationship Id="rId1628" Type="http://schemas.openxmlformats.org/officeDocument/2006/relationships/hyperlink" Target="https://maps.google.com/?q=17.257608,-97.806389999999993" TargetMode="External"/><Relationship Id="rId1975" Type="http://schemas.openxmlformats.org/officeDocument/2006/relationships/hyperlink" Target="https://maps.google.com/?q=17.511838,-97.488547999999994" TargetMode="External"/><Relationship Id="rId3190" Type="http://schemas.openxmlformats.org/officeDocument/2006/relationships/hyperlink" Target="https://maps.google.com/?q=17.05496867597879,-96.6538668942536" TargetMode="External"/><Relationship Id="rId1835" Type="http://schemas.openxmlformats.org/officeDocument/2006/relationships/hyperlink" Target="https://maps.google.com/?q=17.176733,-97.722357" TargetMode="External"/><Relationship Id="rId3050" Type="http://schemas.openxmlformats.org/officeDocument/2006/relationships/hyperlink" Target="https://maps.google.com/?q=16.4278947936979,-95.008154684517194" TargetMode="External"/><Relationship Id="rId3288" Type="http://schemas.openxmlformats.org/officeDocument/2006/relationships/hyperlink" Target="https://maps.google.com/?q=16.522149,-94.518799" TargetMode="External"/><Relationship Id="rId1902" Type="http://schemas.openxmlformats.org/officeDocument/2006/relationships/hyperlink" Target="https://maps.google.com/?q=16.950706,-96.750504000000006" TargetMode="External"/><Relationship Id="rId2097" Type="http://schemas.openxmlformats.org/officeDocument/2006/relationships/hyperlink" Target="https://maps.google.com/?q=17.801687,-96.959688" TargetMode="External"/><Relationship Id="rId3148" Type="http://schemas.openxmlformats.org/officeDocument/2006/relationships/hyperlink" Target="https://maps.google.com/?q=16.4421322660064,-95.021603459764407" TargetMode="External"/><Relationship Id="rId276" Type="http://schemas.openxmlformats.org/officeDocument/2006/relationships/hyperlink" Target="https://maps.google.com/?q=17.0659548791377,-96.969781493372906" TargetMode="External"/><Relationship Id="rId483" Type="http://schemas.openxmlformats.org/officeDocument/2006/relationships/hyperlink" Target="https://maps.google.com/?q=17.380117,-96.919214999999994" TargetMode="External"/><Relationship Id="rId690" Type="http://schemas.openxmlformats.org/officeDocument/2006/relationships/hyperlink" Target="https://maps.google.com/?q=17.2585350027111,-98.262795999999994" TargetMode="External"/><Relationship Id="rId2164" Type="http://schemas.openxmlformats.org/officeDocument/2006/relationships/hyperlink" Target="https://maps.google.com/?q=16.328751,-96.596529000000004" TargetMode="External"/><Relationship Id="rId2371" Type="http://schemas.openxmlformats.org/officeDocument/2006/relationships/hyperlink" Target="https://maps.google.com/?q=18.13222,-97.070751000000001" TargetMode="External"/><Relationship Id="rId3008" Type="http://schemas.openxmlformats.org/officeDocument/2006/relationships/hyperlink" Target="https://maps.google.com/?q=16.4237330279165,-95.024172534724798" TargetMode="External"/><Relationship Id="rId3215" Type="http://schemas.openxmlformats.org/officeDocument/2006/relationships/hyperlink" Target="https://maps.google.com/?q=17.511838,-97.488547999999994" TargetMode="External"/><Relationship Id="rId136" Type="http://schemas.openxmlformats.org/officeDocument/2006/relationships/hyperlink" Target="https://maps.google.com/?q=16.7800385226491,-96.582904063823804" TargetMode="External"/><Relationship Id="rId343" Type="http://schemas.openxmlformats.org/officeDocument/2006/relationships/hyperlink" Target="https://maps.google.com/?q=16.5188161574472,-97.779300522540893" TargetMode="External"/><Relationship Id="rId550" Type="http://schemas.openxmlformats.org/officeDocument/2006/relationships/hyperlink" Target="https://maps.google.com/?q=17.064178,%09-96.810364" TargetMode="External"/><Relationship Id="rId788" Type="http://schemas.openxmlformats.org/officeDocument/2006/relationships/hyperlink" Target="https://maps.google.com/?q=16.8900181357084,-95.038473999999894" TargetMode="External"/><Relationship Id="rId995" Type="http://schemas.openxmlformats.org/officeDocument/2006/relationships/hyperlink" Target="https://maps.google.com/?q=17.379952,-96.163036000000005" TargetMode="External"/><Relationship Id="rId1180" Type="http://schemas.openxmlformats.org/officeDocument/2006/relationships/hyperlink" Target="https://maps.google.com/?q=17.384,-96.162154999999998" TargetMode="External"/><Relationship Id="rId2024" Type="http://schemas.openxmlformats.org/officeDocument/2006/relationships/hyperlink" Target="https://maps.google.com/?q=17.026216,-97.928115000000005" TargetMode="External"/><Relationship Id="rId2231" Type="http://schemas.openxmlformats.org/officeDocument/2006/relationships/hyperlink" Target="https://maps.google.com/?q=16.866371,-96.785623000000001" TargetMode="External"/><Relationship Id="rId2469" Type="http://schemas.openxmlformats.org/officeDocument/2006/relationships/hyperlink" Target="https://maps.google.com/?q=16.38463229961944,-96.840834993757042" TargetMode="External"/><Relationship Id="rId2676" Type="http://schemas.openxmlformats.org/officeDocument/2006/relationships/hyperlink" Target="https://maps.google.com/?q=18.0522372850147,-96.139813678105597" TargetMode="External"/><Relationship Id="rId2883" Type="http://schemas.openxmlformats.org/officeDocument/2006/relationships/hyperlink" Target="https://maps.google.com/?q=17.319604,-98.240093" TargetMode="External"/><Relationship Id="rId203" Type="http://schemas.openxmlformats.org/officeDocument/2006/relationships/hyperlink" Target="https://maps.google.com/?q=16.7841670026321,-96.578015766864894" TargetMode="External"/><Relationship Id="rId648" Type="http://schemas.openxmlformats.org/officeDocument/2006/relationships/hyperlink" Target="https://maps.google.com/?q=17.22039435,-98.191666620000007" TargetMode="External"/><Relationship Id="rId855" Type="http://schemas.openxmlformats.org/officeDocument/2006/relationships/hyperlink" Target="https://maps.google.com/?q=16.713872,-94.749954000000002" TargetMode="External"/><Relationship Id="rId1040" Type="http://schemas.openxmlformats.org/officeDocument/2006/relationships/hyperlink" Target="https://maps.google.com/?q=17.380459,-96.160492000000005" TargetMode="External"/><Relationship Id="rId1278" Type="http://schemas.openxmlformats.org/officeDocument/2006/relationships/hyperlink" Target="https://maps.google.com/?q=16.78247204,-96.936609189999999" TargetMode="External"/><Relationship Id="rId1485" Type="http://schemas.openxmlformats.org/officeDocument/2006/relationships/hyperlink" Target="https://maps.google.com/?q=16.78913344,-96.909741550000007" TargetMode="External"/><Relationship Id="rId1692" Type="http://schemas.openxmlformats.org/officeDocument/2006/relationships/hyperlink" Target="https://maps.google.com/?q=17.279288,-97.874178000000001" TargetMode="External"/><Relationship Id="rId2329" Type="http://schemas.openxmlformats.org/officeDocument/2006/relationships/hyperlink" Target="https://maps.google.com/?q=17.331248,-96.487900999999994" TargetMode="External"/><Relationship Id="rId2536" Type="http://schemas.openxmlformats.org/officeDocument/2006/relationships/hyperlink" Target="https://maps.google.com/?q=16.386365820916154,-96.840465480156951" TargetMode="External"/><Relationship Id="rId2743" Type="http://schemas.openxmlformats.org/officeDocument/2006/relationships/hyperlink" Target="https://maps.google.com/?q=18.076916130134,-96.167891519014404" TargetMode="External"/><Relationship Id="rId410" Type="http://schemas.openxmlformats.org/officeDocument/2006/relationships/hyperlink" Target="https://maps.google.com/?q=17.40112839,-96.927410589999994" TargetMode="External"/><Relationship Id="rId508" Type="http://schemas.openxmlformats.org/officeDocument/2006/relationships/hyperlink" Target="https://maps.google.com/?q=17.152968744572,-97.733722682209006" TargetMode="External"/><Relationship Id="rId715" Type="http://schemas.openxmlformats.org/officeDocument/2006/relationships/hyperlink" Target="https://maps.google.com/?q=17.2602807220012,-98.261792999999997" TargetMode="External"/><Relationship Id="rId922" Type="http://schemas.openxmlformats.org/officeDocument/2006/relationships/hyperlink" Target="https://maps.google.com/?q=16.6739881907416,-94.777421348149502" TargetMode="External"/><Relationship Id="rId1138" Type="http://schemas.openxmlformats.org/officeDocument/2006/relationships/hyperlink" Target="https://maps.google.com/?q=17.381738,-96.160297999999997" TargetMode="External"/><Relationship Id="rId1345" Type="http://schemas.openxmlformats.org/officeDocument/2006/relationships/hyperlink" Target="https://maps.google.com/?q=16.78741175,-96.897117420000001" TargetMode="External"/><Relationship Id="rId1552" Type="http://schemas.openxmlformats.org/officeDocument/2006/relationships/hyperlink" Target="https://maps.google.com/?q=16.78968651,-96.919922650000004" TargetMode="External"/><Relationship Id="rId1997" Type="http://schemas.openxmlformats.org/officeDocument/2006/relationships/hyperlink" Target="https://maps.google.com/?q=17.207464,-96.801094000000006" TargetMode="External"/><Relationship Id="rId2603" Type="http://schemas.openxmlformats.org/officeDocument/2006/relationships/hyperlink" Target="https://maps.google.com/?q=16.397042720036875,-96.841193527888976" TargetMode="External"/><Relationship Id="rId2950" Type="http://schemas.openxmlformats.org/officeDocument/2006/relationships/hyperlink" Target="https://maps.google.com/?q=17.428845,-98.294152999999994" TargetMode="External"/><Relationship Id="rId1205" Type="http://schemas.openxmlformats.org/officeDocument/2006/relationships/hyperlink" Target="https://maps.google.com/?q=17.104055,%20-96.776773" TargetMode="External"/><Relationship Id="rId1857" Type="http://schemas.openxmlformats.org/officeDocument/2006/relationships/hyperlink" Target="https://maps.google.com/?q=17.824318,-97.732377" TargetMode="External"/><Relationship Id="rId2810" Type="http://schemas.openxmlformats.org/officeDocument/2006/relationships/hyperlink" Target="https://maps.google.com/?q=18.0994089584594,-96.159750588955006" TargetMode="External"/><Relationship Id="rId2908" Type="http://schemas.openxmlformats.org/officeDocument/2006/relationships/hyperlink" Target="https://maps.google.com/?q=17.323353,-98.238220999999996" TargetMode="External"/><Relationship Id="rId51" Type="http://schemas.openxmlformats.org/officeDocument/2006/relationships/hyperlink" Target="https://maps.google.com/?q=16.9791130094528,-96.886519497961004" TargetMode="External"/><Relationship Id="rId1412" Type="http://schemas.openxmlformats.org/officeDocument/2006/relationships/hyperlink" Target="https://maps.google.com/?q=16.78850777,-96.906162749999993" TargetMode="External"/><Relationship Id="rId1717" Type="http://schemas.openxmlformats.org/officeDocument/2006/relationships/hyperlink" Target="https://maps.google.com/?q=16.787876,-96.792209" TargetMode="External"/><Relationship Id="rId1924" Type="http://schemas.openxmlformats.org/officeDocument/2006/relationships/hyperlink" Target="https://maps.google.com/?q=16.328751,-96.596529000000004" TargetMode="External"/><Relationship Id="rId3072" Type="http://schemas.openxmlformats.org/officeDocument/2006/relationships/hyperlink" Target="https://maps.google.com/?q=16.4298924519066,-95.036359727682395" TargetMode="External"/><Relationship Id="rId298" Type="http://schemas.openxmlformats.org/officeDocument/2006/relationships/hyperlink" Target="https://maps.google.com/?q=16.6156348892641,-97.788226190836596" TargetMode="External"/><Relationship Id="rId158" Type="http://schemas.openxmlformats.org/officeDocument/2006/relationships/hyperlink" Target="https://maps.google.com/?q=16.7815477427118,-96.584450547662797" TargetMode="External"/><Relationship Id="rId2186" Type="http://schemas.openxmlformats.org/officeDocument/2006/relationships/hyperlink" Target="https://maps.google.com/?q=17.724615,-97.323898" TargetMode="External"/><Relationship Id="rId2393" Type="http://schemas.openxmlformats.org/officeDocument/2006/relationships/hyperlink" Target="https://maps.google.com/?q=16.38261074789726,-96.836261586201175" TargetMode="External"/><Relationship Id="rId2698" Type="http://schemas.openxmlformats.org/officeDocument/2006/relationships/hyperlink" Target="https://maps.google.com/?q=18.0570092223487,-96.144706519884096" TargetMode="External"/><Relationship Id="rId3237" Type="http://schemas.openxmlformats.org/officeDocument/2006/relationships/hyperlink" Target="https://maps.google.com/?q=17.207464,-96.801094000000006" TargetMode="External"/><Relationship Id="rId365" Type="http://schemas.openxmlformats.org/officeDocument/2006/relationships/hyperlink" Target="https://maps.google.com/?q=16.500361,-97.781256999999997" TargetMode="External"/><Relationship Id="rId572" Type="http://schemas.openxmlformats.org/officeDocument/2006/relationships/hyperlink" Target="https://maps.google.com/?q=17.1767515652753,-98.195252682209002" TargetMode="External"/><Relationship Id="rId2046" Type="http://schemas.openxmlformats.org/officeDocument/2006/relationships/hyperlink" Target="https://maps.google.com/?q=16.433347,-95.021687" TargetMode="External"/><Relationship Id="rId2253" Type="http://schemas.openxmlformats.org/officeDocument/2006/relationships/hyperlink" Target="https://maps.google.com/?q=16.279058,-97.820240999999996" TargetMode="External"/><Relationship Id="rId2460" Type="http://schemas.openxmlformats.org/officeDocument/2006/relationships/hyperlink" Target="https://maps.google.com/?q=16.38452311259097,-96.844095180015245" TargetMode="External"/><Relationship Id="rId225" Type="http://schemas.openxmlformats.org/officeDocument/2006/relationships/hyperlink" Target="https://maps.google.com/?q=16.9783704967884,-97.055556423373005" TargetMode="External"/><Relationship Id="rId432" Type="http://schemas.openxmlformats.org/officeDocument/2006/relationships/hyperlink" Target="https://maps.google.com/?q=17.40967956,-97.01259786" TargetMode="External"/><Relationship Id="rId877" Type="http://schemas.openxmlformats.org/officeDocument/2006/relationships/hyperlink" Target="https://maps.google.com/?q=16.714917,-94.750324000000006" TargetMode="External"/><Relationship Id="rId1062" Type="http://schemas.openxmlformats.org/officeDocument/2006/relationships/hyperlink" Target="https://maps.google.com/?q=17.380702,-96.160157999999996" TargetMode="External"/><Relationship Id="rId2113" Type="http://schemas.openxmlformats.org/officeDocument/2006/relationships/hyperlink" Target="https://maps.google.com/?q=16.95558,-96.479206000000005" TargetMode="External"/><Relationship Id="rId2320" Type="http://schemas.openxmlformats.org/officeDocument/2006/relationships/hyperlink" Target="https://maps.google.com/?q=16.791625,-96.674999" TargetMode="External"/><Relationship Id="rId2558" Type="http://schemas.openxmlformats.org/officeDocument/2006/relationships/hyperlink" Target="https://maps.google.com/?q=16.387158900842294,-96.837058390401481" TargetMode="External"/><Relationship Id="rId2765" Type="http://schemas.openxmlformats.org/officeDocument/2006/relationships/hyperlink" Target="https://maps.google.com/?q=18.0835842619503,-96.164604447443807" TargetMode="External"/><Relationship Id="rId2972" Type="http://schemas.openxmlformats.org/officeDocument/2006/relationships/hyperlink" Target="https://maps.google.com/?q=17.432353,-98.285089999999997" TargetMode="External"/><Relationship Id="rId737" Type="http://schemas.openxmlformats.org/officeDocument/2006/relationships/hyperlink" Target="https://maps.google.com/?q=16.8798797207509,-95.0259764077664" TargetMode="External"/><Relationship Id="rId944" Type="http://schemas.openxmlformats.org/officeDocument/2006/relationships/hyperlink" Target="https://maps.google.com/?q=16.6792060465979,-94.773775049486403" TargetMode="External"/><Relationship Id="rId1367" Type="http://schemas.openxmlformats.org/officeDocument/2006/relationships/hyperlink" Target="https://maps.google.com/?q=16.78786238,-96.896291579999996" TargetMode="External"/><Relationship Id="rId1574" Type="http://schemas.openxmlformats.org/officeDocument/2006/relationships/hyperlink" Target="https://maps.google.com/?q=16.78985797,-96.897820229999994" TargetMode="External"/><Relationship Id="rId1781" Type="http://schemas.openxmlformats.org/officeDocument/2006/relationships/hyperlink" Target="https://maps.google.com/?q=15.7730606,-96.139944700000001" TargetMode="External"/><Relationship Id="rId2418" Type="http://schemas.openxmlformats.org/officeDocument/2006/relationships/hyperlink" Target="https://maps.google.com/?q=16.383757055090005,-96.844479604722395" TargetMode="External"/><Relationship Id="rId2625" Type="http://schemas.openxmlformats.org/officeDocument/2006/relationships/hyperlink" Target="https://maps.google.com/?q=17.9839920028328,-96.099987023313602" TargetMode="External"/><Relationship Id="rId2832" Type="http://schemas.openxmlformats.org/officeDocument/2006/relationships/hyperlink" Target="https://maps.google.com/?q=17.0184083084388,-97.498536317790794" TargetMode="External"/><Relationship Id="rId73" Type="http://schemas.openxmlformats.org/officeDocument/2006/relationships/hyperlink" Target="https://maps.google.com/?q=16.9842403069909,-96.8897826441804" TargetMode="External"/><Relationship Id="rId804" Type="http://schemas.openxmlformats.org/officeDocument/2006/relationships/hyperlink" Target="https://maps.google.com/?q=16.8975471355049,-95.042595046627" TargetMode="External"/><Relationship Id="rId1227" Type="http://schemas.openxmlformats.org/officeDocument/2006/relationships/hyperlink" Target="https://maps.google.com/?q=17.102688172,-96.773526343" TargetMode="External"/><Relationship Id="rId1434" Type="http://schemas.openxmlformats.org/officeDocument/2006/relationships/hyperlink" Target="https://maps.google.com/?q=16.78873464,-96.893319840000004" TargetMode="External"/><Relationship Id="rId1641" Type="http://schemas.openxmlformats.org/officeDocument/2006/relationships/hyperlink" Target="https://maps.google.com/?q=17.3231479184281,-97.894380152375703" TargetMode="External"/><Relationship Id="rId1879" Type="http://schemas.openxmlformats.org/officeDocument/2006/relationships/hyperlink" Target="https://maps.google.com/?q=17.331248,-96.487900999999994" TargetMode="External"/><Relationship Id="rId3094" Type="http://schemas.openxmlformats.org/officeDocument/2006/relationships/hyperlink" Target="https://maps.google.com/?q=16.4333591565358,-95.030500772938495" TargetMode="External"/><Relationship Id="rId1501" Type="http://schemas.openxmlformats.org/officeDocument/2006/relationships/hyperlink" Target="https://maps.google.com/?q=16.78922697,-96.908811569999997" TargetMode="External"/><Relationship Id="rId1739" Type="http://schemas.openxmlformats.org/officeDocument/2006/relationships/hyperlink" Target="https://maps.google.com/?q=16.32879772205927,-96.58677003802872" TargetMode="External"/><Relationship Id="rId1946" Type="http://schemas.openxmlformats.org/officeDocument/2006/relationships/hyperlink" Target="https://maps.google.com/?q=17.724615,-97.323898" TargetMode="External"/><Relationship Id="rId1806" Type="http://schemas.openxmlformats.org/officeDocument/2006/relationships/hyperlink" Target="https://maps.google.com/?q=15.7734185,-96.144273699999999" TargetMode="External"/><Relationship Id="rId3161" Type="http://schemas.openxmlformats.org/officeDocument/2006/relationships/hyperlink" Target="https://maps.google.com/?q=16.4480614036117,-95.017834225422803" TargetMode="External"/><Relationship Id="rId3259" Type="http://schemas.openxmlformats.org/officeDocument/2006/relationships/hyperlink" Target="https://maps.google.com/?q=15.819463,-96.282843" TargetMode="External"/><Relationship Id="rId387" Type="http://schemas.openxmlformats.org/officeDocument/2006/relationships/hyperlink" Target="https://maps.google.com/?q=16.490426,-97.581055000000006" TargetMode="External"/><Relationship Id="rId594" Type="http://schemas.openxmlformats.org/officeDocument/2006/relationships/hyperlink" Target="https://maps.google.com/?q=17.2713276509486,-98.276543860811799" TargetMode="External"/><Relationship Id="rId2068" Type="http://schemas.openxmlformats.org/officeDocument/2006/relationships/hyperlink" Target="https://maps.google.com/?q=17.806621,-97.776161999999999" TargetMode="External"/><Relationship Id="rId2275" Type="http://schemas.openxmlformats.org/officeDocument/2006/relationships/hyperlink" Target="https://maps.google.com/?q=17.511838,-97.488547999999994" TargetMode="External"/><Relationship Id="rId3021" Type="http://schemas.openxmlformats.org/officeDocument/2006/relationships/hyperlink" Target="https://maps.google.com/?q=16.4255654258619,-95.015575652259102" TargetMode="External"/><Relationship Id="rId3119" Type="http://schemas.openxmlformats.org/officeDocument/2006/relationships/hyperlink" Target="https://maps.google.com/?q=16.4385139960313,-95.019410285879204" TargetMode="External"/><Relationship Id="rId247" Type="http://schemas.openxmlformats.org/officeDocument/2006/relationships/hyperlink" Target="https://maps.google.com/?q=16.983098977038,-97.021543901223396" TargetMode="External"/><Relationship Id="rId899" Type="http://schemas.openxmlformats.org/officeDocument/2006/relationships/hyperlink" Target="https://maps.google.com/?q=16.715852,-94.745301999999995" TargetMode="External"/><Relationship Id="rId1084" Type="http://schemas.openxmlformats.org/officeDocument/2006/relationships/hyperlink" Target="https://maps.google.com/?q=17.380988,-96.160781999999998" TargetMode="External"/><Relationship Id="rId2482" Type="http://schemas.openxmlformats.org/officeDocument/2006/relationships/hyperlink" Target="https://maps.google.com/?q=16.385000663040582,-96.837713843174996" TargetMode="External"/><Relationship Id="rId2787" Type="http://schemas.openxmlformats.org/officeDocument/2006/relationships/hyperlink" Target="https://maps.google.com/?q=18.0884023699957,-96.167510177909904" TargetMode="External"/><Relationship Id="rId107" Type="http://schemas.openxmlformats.org/officeDocument/2006/relationships/hyperlink" Target="https://maps.google.com/?q=16.972318218012,-96.913419364418203" TargetMode="External"/><Relationship Id="rId454" Type="http://schemas.openxmlformats.org/officeDocument/2006/relationships/hyperlink" Target="https://maps.google.com/?q=17.413229,-96.930435000000003" TargetMode="External"/><Relationship Id="rId661" Type="http://schemas.openxmlformats.org/officeDocument/2006/relationships/hyperlink" Target="https://maps.google.com/?q=17.22226843,-98.193809700000003" TargetMode="External"/><Relationship Id="rId759" Type="http://schemas.openxmlformats.org/officeDocument/2006/relationships/hyperlink" Target="https://maps.google.com/?q=16.818096528262,-95.118568412199195" TargetMode="External"/><Relationship Id="rId966" Type="http://schemas.openxmlformats.org/officeDocument/2006/relationships/hyperlink" Target="https://maps.google.com/?q=17.379068,-96.160003000000003" TargetMode="External"/><Relationship Id="rId1291" Type="http://schemas.openxmlformats.org/officeDocument/2006/relationships/hyperlink" Target="https://maps.google.com/?q=16.78505055,-96.931230830000004" TargetMode="External"/><Relationship Id="rId1389" Type="http://schemas.openxmlformats.org/officeDocument/2006/relationships/hyperlink" Target="https://maps.google.com/?q=16.78814613,-96.893923369999996" TargetMode="External"/><Relationship Id="rId1596" Type="http://schemas.openxmlformats.org/officeDocument/2006/relationships/hyperlink" Target="https://maps.google.com/?q=16.79018738,-96.895669650000002" TargetMode="External"/><Relationship Id="rId2135" Type="http://schemas.openxmlformats.org/officeDocument/2006/relationships/hyperlink" Target="https://maps.google.com/?q=16.332014,-95.231966" TargetMode="External"/><Relationship Id="rId2342" Type="http://schemas.openxmlformats.org/officeDocument/2006/relationships/hyperlink" Target="https://maps.google.com/?q=15.746144,-96.465182999999996" TargetMode="External"/><Relationship Id="rId2647" Type="http://schemas.openxmlformats.org/officeDocument/2006/relationships/hyperlink" Target="https://maps.google.com/?q=18.1200955776299,-95.999025721788698" TargetMode="External"/><Relationship Id="rId2994" Type="http://schemas.openxmlformats.org/officeDocument/2006/relationships/hyperlink" Target="https://maps.google.com/?q=16.4212556629582,-95.036944769543695" TargetMode="External"/><Relationship Id="rId314" Type="http://schemas.openxmlformats.org/officeDocument/2006/relationships/hyperlink" Target="https://maps.google.com/?q=16.6195011473641,-97.790927364417996" TargetMode="External"/><Relationship Id="rId521" Type="http://schemas.openxmlformats.org/officeDocument/2006/relationships/hyperlink" Target="https://maps.google.com/?q=17.134847439534,-97.710642682208999" TargetMode="External"/><Relationship Id="rId619" Type="http://schemas.openxmlformats.org/officeDocument/2006/relationships/hyperlink" Target="https://maps.google.com/?q=17.2754160311476,-98.275728159039502" TargetMode="External"/><Relationship Id="rId1151" Type="http://schemas.openxmlformats.org/officeDocument/2006/relationships/hyperlink" Target="https://maps.google.com/?q=17.381953,-96.163520000000005" TargetMode="External"/><Relationship Id="rId1249" Type="http://schemas.openxmlformats.org/officeDocument/2006/relationships/hyperlink" Target="https://maps.google.com/?q=16.78059487,-96.945603939999998" TargetMode="External"/><Relationship Id="rId2202" Type="http://schemas.openxmlformats.org/officeDocument/2006/relationships/hyperlink" Target="https://maps.google.com/?q=16.950706,-96.750504000000006" TargetMode="External"/><Relationship Id="rId2854" Type="http://schemas.openxmlformats.org/officeDocument/2006/relationships/hyperlink" Target="https://maps.google.com/?q=17.0098915905243,-97.467985836805298" TargetMode="External"/><Relationship Id="rId95" Type="http://schemas.openxmlformats.org/officeDocument/2006/relationships/hyperlink" Target="https://maps.google.com/?q=17.0117528348777,-96.890138113041701" TargetMode="External"/><Relationship Id="rId826" Type="http://schemas.openxmlformats.org/officeDocument/2006/relationships/hyperlink" Target="https://maps.google.com/?q=16.712462,-94.745521999999994" TargetMode="External"/><Relationship Id="rId1011" Type="http://schemas.openxmlformats.org/officeDocument/2006/relationships/hyperlink" Target="https://maps.google.com/?q=17.380173,-96.162471999999994" TargetMode="External"/><Relationship Id="rId1109" Type="http://schemas.openxmlformats.org/officeDocument/2006/relationships/hyperlink" Target="https://maps.google.com/?q=17.381219,-96.160256000000004" TargetMode="External"/><Relationship Id="rId1456" Type="http://schemas.openxmlformats.org/officeDocument/2006/relationships/hyperlink" Target="https://maps.google.com/?q=16.78889929,-96.911780609999994" TargetMode="External"/><Relationship Id="rId1663" Type="http://schemas.openxmlformats.org/officeDocument/2006/relationships/hyperlink" Target="https://maps.google.com/?q=17.25395093,-97.8814547463802" TargetMode="External"/><Relationship Id="rId1870" Type="http://schemas.openxmlformats.org/officeDocument/2006/relationships/hyperlink" Target="https://maps.google.com/?q=16.791625,-96.674999" TargetMode="External"/><Relationship Id="rId1968" Type="http://schemas.openxmlformats.org/officeDocument/2006/relationships/hyperlink" Target="https://maps.google.com/?q=17.267449,-97.680485000000004" TargetMode="External"/><Relationship Id="rId2507" Type="http://schemas.openxmlformats.org/officeDocument/2006/relationships/hyperlink" Target="https://maps.google.com/?q=16.385453971381278,-96.843736407587656" TargetMode="External"/><Relationship Id="rId2714" Type="http://schemas.openxmlformats.org/officeDocument/2006/relationships/hyperlink" Target="https://maps.google.com/?q=18.061755665253,-96.144811622812497" TargetMode="External"/><Relationship Id="rId2921" Type="http://schemas.openxmlformats.org/officeDocument/2006/relationships/hyperlink" Target="https://maps.google.com/?q=17.336888,-98.170467000000002" TargetMode="External"/><Relationship Id="rId1316" Type="http://schemas.openxmlformats.org/officeDocument/2006/relationships/hyperlink" Target="https://maps.google.com/?q=16.78682679,-96.898937259999997" TargetMode="External"/><Relationship Id="rId1523" Type="http://schemas.openxmlformats.org/officeDocument/2006/relationships/hyperlink" Target="https://maps.google.com/?q=16.78937251,-96.893545869999997" TargetMode="External"/><Relationship Id="rId1730" Type="http://schemas.openxmlformats.org/officeDocument/2006/relationships/hyperlink" Target="https://maps.google.com/?q=16.789971,-96.784644" TargetMode="External"/><Relationship Id="rId3183" Type="http://schemas.openxmlformats.org/officeDocument/2006/relationships/hyperlink" Target="https://maps.google.com/?q=16.4648050694884,-95.031225587967597" TargetMode="External"/><Relationship Id="rId22" Type="http://schemas.openxmlformats.org/officeDocument/2006/relationships/hyperlink" Target="https://maps.google.com/?q=15.98583144,-95.677348069999994" TargetMode="External"/><Relationship Id="rId1828" Type="http://schemas.openxmlformats.org/officeDocument/2006/relationships/hyperlink" Target="https://maps.google.com/?q=17.77907432,-96.30791995" TargetMode="External"/><Relationship Id="rId3043" Type="http://schemas.openxmlformats.org/officeDocument/2006/relationships/hyperlink" Target="https://maps.google.com/?q=16.4267558978998,-95.025283386932401" TargetMode="External"/><Relationship Id="rId3250" Type="http://schemas.openxmlformats.org/officeDocument/2006/relationships/hyperlink" Target="https://maps.google.com/?q=18.13222,-97.070751000000001" TargetMode="External"/><Relationship Id="rId171" Type="http://schemas.openxmlformats.org/officeDocument/2006/relationships/hyperlink" Target="https://maps.google.com/?q=16.7823791408913,-96.5787622400061" TargetMode="External"/><Relationship Id="rId2297" Type="http://schemas.openxmlformats.org/officeDocument/2006/relationships/hyperlink" Target="https://maps.google.com/?q=17.207464,-96.801094000000006" TargetMode="External"/><Relationship Id="rId269" Type="http://schemas.openxmlformats.org/officeDocument/2006/relationships/hyperlink" Target="https://maps.google.com/?q=17.1231827210688,-96.973616457672094" TargetMode="External"/><Relationship Id="rId476" Type="http://schemas.openxmlformats.org/officeDocument/2006/relationships/hyperlink" Target="https://maps.google.com/?q=17.422974,-97.009343000000001" TargetMode="External"/><Relationship Id="rId683" Type="http://schemas.openxmlformats.org/officeDocument/2006/relationships/hyperlink" Target="https://maps.google.com/?q=17.2572088449054,-98.261387658895501" TargetMode="External"/><Relationship Id="rId890" Type="http://schemas.openxmlformats.org/officeDocument/2006/relationships/hyperlink" Target="https://maps.google.com/?q=16.7154494123667,-94.745708466823302" TargetMode="External"/><Relationship Id="rId2157" Type="http://schemas.openxmlformats.org/officeDocument/2006/relationships/hyperlink" Target="https://maps.google.com/?q=17.801687,-96.959688" TargetMode="External"/><Relationship Id="rId2364" Type="http://schemas.openxmlformats.org/officeDocument/2006/relationships/hyperlink" Target="https://maps.google.com/?q=17.458341,-97.225285" TargetMode="External"/><Relationship Id="rId2571" Type="http://schemas.openxmlformats.org/officeDocument/2006/relationships/hyperlink" Target="https://maps.google.com/?q=16.387498496259578,-96.839564981422953" TargetMode="External"/><Relationship Id="rId3110" Type="http://schemas.openxmlformats.org/officeDocument/2006/relationships/hyperlink" Target="https://maps.google.com/?q=16.4376110568957,-95.0311672067849" TargetMode="External"/><Relationship Id="rId3208" Type="http://schemas.openxmlformats.org/officeDocument/2006/relationships/hyperlink" Target="https://maps.google.com/?q=17.267449,-97.680485000000004" TargetMode="External"/><Relationship Id="rId129" Type="http://schemas.openxmlformats.org/officeDocument/2006/relationships/hyperlink" Target="https://maps.google.com/?q=16.7789241955533,-96.577531946827094" TargetMode="External"/><Relationship Id="rId336" Type="http://schemas.openxmlformats.org/officeDocument/2006/relationships/hyperlink" Target="https://maps.google.com/?q=16.5180759160964,-97.778838487884798" TargetMode="External"/><Relationship Id="rId543" Type="http://schemas.openxmlformats.org/officeDocument/2006/relationships/hyperlink" Target="https://maps.google.com/?q=17.177803,-97.72663" TargetMode="External"/><Relationship Id="rId988" Type="http://schemas.openxmlformats.org/officeDocument/2006/relationships/hyperlink" Target="https://maps.google.com/?q=17.379807,-96.161472000000003" TargetMode="External"/><Relationship Id="rId1173" Type="http://schemas.openxmlformats.org/officeDocument/2006/relationships/hyperlink" Target="https://maps.google.com/?q=17.382899,-96.161753000000004" TargetMode="External"/><Relationship Id="rId1380" Type="http://schemas.openxmlformats.org/officeDocument/2006/relationships/hyperlink" Target="https://maps.google.com/?q=16.78803326,-96.898221210000003" TargetMode="External"/><Relationship Id="rId2017" Type="http://schemas.openxmlformats.org/officeDocument/2006/relationships/hyperlink" Target="https://maps.google.com/?q=16.500512,-96.106790000000004" TargetMode="External"/><Relationship Id="rId2224" Type="http://schemas.openxmlformats.org/officeDocument/2006/relationships/hyperlink" Target="https://maps.google.com/?q=16.328751,-96.596529000000004" TargetMode="External"/><Relationship Id="rId2669" Type="http://schemas.openxmlformats.org/officeDocument/2006/relationships/hyperlink" Target="https://maps.google.com/?q=18.0516618318083,-96.148296991401196" TargetMode="External"/><Relationship Id="rId2876" Type="http://schemas.openxmlformats.org/officeDocument/2006/relationships/hyperlink" Target="https://maps.google.com/?q=17.0642605178641,-97.478169449073903" TargetMode="External"/><Relationship Id="rId403" Type="http://schemas.openxmlformats.org/officeDocument/2006/relationships/hyperlink" Target="https://maps.google.com/?q=17.39711364,-96.92663091" TargetMode="External"/><Relationship Id="rId750" Type="http://schemas.openxmlformats.org/officeDocument/2006/relationships/hyperlink" Target="https://maps.google.com/?q=16.8167571726479,-95.1179714259831" TargetMode="External"/><Relationship Id="rId848" Type="http://schemas.openxmlformats.org/officeDocument/2006/relationships/hyperlink" Target="https://maps.google.com/?q=16.713684,-94.745984000000007" TargetMode="External"/><Relationship Id="rId1033" Type="http://schemas.openxmlformats.org/officeDocument/2006/relationships/hyperlink" Target="https://maps.google.com/?q=17.380396,-96.160346000000004" TargetMode="External"/><Relationship Id="rId1478" Type="http://schemas.openxmlformats.org/officeDocument/2006/relationships/hyperlink" Target="https://maps.google.com/?q=16.78909073,-96.894828660000002" TargetMode="External"/><Relationship Id="rId1685" Type="http://schemas.openxmlformats.org/officeDocument/2006/relationships/hyperlink" Target="https://maps.google.com/?q=17.3903891219463,-97.910265682209101" TargetMode="External"/><Relationship Id="rId1892" Type="http://schemas.openxmlformats.org/officeDocument/2006/relationships/hyperlink" Target="https://maps.google.com/?q=16.237076,-97.292351999999994" TargetMode="External"/><Relationship Id="rId2431" Type="http://schemas.openxmlformats.org/officeDocument/2006/relationships/hyperlink" Target="https://maps.google.com/?q=16.384027487604214,-96.844906958156173" TargetMode="External"/><Relationship Id="rId2529" Type="http://schemas.openxmlformats.org/officeDocument/2006/relationships/hyperlink" Target="https://maps.google.com/?q=16.386028176059437,-96.840226005068246" TargetMode="External"/><Relationship Id="rId2736" Type="http://schemas.openxmlformats.org/officeDocument/2006/relationships/hyperlink" Target="https://maps.google.com/?q=18.0749686391091,-96.173318333370901" TargetMode="External"/><Relationship Id="rId610" Type="http://schemas.openxmlformats.org/officeDocument/2006/relationships/hyperlink" Target="https://maps.google.com/?q=17.2736581667392,-98.279225052917198" TargetMode="External"/><Relationship Id="rId708" Type="http://schemas.openxmlformats.org/officeDocument/2006/relationships/hyperlink" Target="https://maps.google.com/?q=17.2599535968339,-98.261461418888999" TargetMode="External"/><Relationship Id="rId915" Type="http://schemas.openxmlformats.org/officeDocument/2006/relationships/hyperlink" Target="https://maps.google.com/?q=16.673307,-94.777556000000004" TargetMode="External"/><Relationship Id="rId1240" Type="http://schemas.openxmlformats.org/officeDocument/2006/relationships/hyperlink" Target="https://maps.google.com/?q=16.77932687,-96.953272940000005" TargetMode="External"/><Relationship Id="rId1338" Type="http://schemas.openxmlformats.org/officeDocument/2006/relationships/hyperlink" Target="https://maps.google.com/?q=16.78729192,-96.924855379999997" TargetMode="External"/><Relationship Id="rId1545" Type="http://schemas.openxmlformats.org/officeDocument/2006/relationships/hyperlink" Target="https://maps.google.com/?q=16.78961514486694,-96.899681618654853" TargetMode="External"/><Relationship Id="rId2943" Type="http://schemas.openxmlformats.org/officeDocument/2006/relationships/hyperlink" Target="https://maps.google.com/?q=17.338514,-98.170968999999999" TargetMode="External"/><Relationship Id="rId1100" Type="http://schemas.openxmlformats.org/officeDocument/2006/relationships/hyperlink" Target="https://maps.google.com/?q=17.381098,-96.160387" TargetMode="External"/><Relationship Id="rId1405" Type="http://schemas.openxmlformats.org/officeDocument/2006/relationships/hyperlink" Target="https://maps.google.com/?q=16.78845173,-96.90496709" TargetMode="External"/><Relationship Id="rId1752" Type="http://schemas.openxmlformats.org/officeDocument/2006/relationships/hyperlink" Target="https://maps.google.com/?q=17.100841,-96.762489" TargetMode="External"/><Relationship Id="rId2803" Type="http://schemas.openxmlformats.org/officeDocument/2006/relationships/hyperlink" Target="https://maps.google.com/?q=18.0979889718521,-96.162522023465698" TargetMode="External"/><Relationship Id="rId44" Type="http://schemas.openxmlformats.org/officeDocument/2006/relationships/hyperlink" Target="https://maps.google.com/?q=16.9776119576212,-96.891583542327993" TargetMode="External"/><Relationship Id="rId1612" Type="http://schemas.openxmlformats.org/officeDocument/2006/relationships/hyperlink" Target="https://maps.google.com/?q=17.101850186462514,-96.712665604093544" TargetMode="External"/><Relationship Id="rId1917" Type="http://schemas.openxmlformats.org/officeDocument/2006/relationships/hyperlink" Target="https://maps.google.com/?q=17.801687,-96.959688" TargetMode="External"/><Relationship Id="rId3065" Type="http://schemas.openxmlformats.org/officeDocument/2006/relationships/hyperlink" Target="https://maps.google.com/?q=16.42920640077,-95.027772431668296" TargetMode="External"/><Relationship Id="rId3272" Type="http://schemas.openxmlformats.org/officeDocument/2006/relationships/hyperlink" Target="https://maps.google.com/?q=16.402933,-94.325124" TargetMode="External"/><Relationship Id="rId193" Type="http://schemas.openxmlformats.org/officeDocument/2006/relationships/hyperlink" Target="https://maps.google.com/?q=16.7836103606439,-96.587095936176496" TargetMode="External"/><Relationship Id="rId498" Type="http://schemas.openxmlformats.org/officeDocument/2006/relationships/hyperlink" Target="https://maps.google.com/?q=17.42906213,-96.935453999999993" TargetMode="External"/><Relationship Id="rId2081" Type="http://schemas.openxmlformats.org/officeDocument/2006/relationships/hyperlink" Target="https://maps.google.com/?q=16.866371,-96.785623000000001" TargetMode="External"/><Relationship Id="rId2179" Type="http://schemas.openxmlformats.org/officeDocument/2006/relationships/hyperlink" Target="https://maps.google.com/?q=17.331248,-96.487900999999994" TargetMode="External"/><Relationship Id="rId3132" Type="http://schemas.openxmlformats.org/officeDocument/2006/relationships/hyperlink" Target="https://maps.google.com/?q=16.4396366643548,-95.029311438991598" TargetMode="External"/><Relationship Id="rId260" Type="http://schemas.openxmlformats.org/officeDocument/2006/relationships/hyperlink" Target="https://maps.google.com/?q=16.9707749605654,-97.033523644180605" TargetMode="External"/><Relationship Id="rId2386" Type="http://schemas.openxmlformats.org/officeDocument/2006/relationships/hyperlink" Target="https://maps.google.com/?q=16.381881776866233,-96.84584954023731" TargetMode="External"/><Relationship Id="rId2593" Type="http://schemas.openxmlformats.org/officeDocument/2006/relationships/hyperlink" Target="https://maps.google.com/?q=16.394702748730953,-96.843661716240604" TargetMode="External"/><Relationship Id="rId120" Type="http://schemas.openxmlformats.org/officeDocument/2006/relationships/hyperlink" Target="https://maps.google.com/?q=16.9585114924199,-96.899247399388301" TargetMode="External"/><Relationship Id="rId358" Type="http://schemas.openxmlformats.org/officeDocument/2006/relationships/hyperlink" Target="https://maps.google.com/?q=16.4995644366415,-97.780171177909907" TargetMode="External"/><Relationship Id="rId565" Type="http://schemas.openxmlformats.org/officeDocument/2006/relationships/hyperlink" Target="https://maps.google.com/?q=17.1756816686293,-98.195106704195396" TargetMode="External"/><Relationship Id="rId772" Type="http://schemas.openxmlformats.org/officeDocument/2006/relationships/hyperlink" Target="https://maps.google.com/?q=16.8221198589227,-95.117225977790994" TargetMode="External"/><Relationship Id="rId1195" Type="http://schemas.openxmlformats.org/officeDocument/2006/relationships/hyperlink" Target="https://maps.google.com/?q=17.103302,%20-96.774275" TargetMode="External"/><Relationship Id="rId2039" Type="http://schemas.openxmlformats.org/officeDocument/2006/relationships/hyperlink" Target="https://maps.google.com/?q=18.081169,-96.118475000000004" TargetMode="External"/><Relationship Id="rId2246" Type="http://schemas.openxmlformats.org/officeDocument/2006/relationships/hyperlink" Target="https://maps.google.com/?q=17.724615,-97.323898" TargetMode="External"/><Relationship Id="rId2453" Type="http://schemas.openxmlformats.org/officeDocument/2006/relationships/hyperlink" Target="https://maps.google.com/?q=16.384436196477793,-96.842267802819379" TargetMode="External"/><Relationship Id="rId2660" Type="http://schemas.openxmlformats.org/officeDocument/2006/relationships/hyperlink" Target="https://maps.google.com/?q=18.0292604188711,-96.156816739051195" TargetMode="External"/><Relationship Id="rId2898" Type="http://schemas.openxmlformats.org/officeDocument/2006/relationships/hyperlink" Target="https://maps.google.com/?q=17.320728,-98.238843000000003" TargetMode="External"/><Relationship Id="rId218" Type="http://schemas.openxmlformats.org/officeDocument/2006/relationships/hyperlink" Target="https://maps.google.com/?q=16.7857662366332,-96.579782741069906" TargetMode="External"/><Relationship Id="rId425" Type="http://schemas.openxmlformats.org/officeDocument/2006/relationships/hyperlink" Target="https://maps.google.com/?q=17.40642463,-96.928298190000007" TargetMode="External"/><Relationship Id="rId632" Type="http://schemas.openxmlformats.org/officeDocument/2006/relationships/hyperlink" Target="https://maps.google.com/?q=17.2792525341426,-98.274501712700896" TargetMode="External"/><Relationship Id="rId1055" Type="http://schemas.openxmlformats.org/officeDocument/2006/relationships/hyperlink" Target="https://maps.google.com/?q=17.380598,-96.163450999999995" TargetMode="External"/><Relationship Id="rId1262" Type="http://schemas.openxmlformats.org/officeDocument/2006/relationships/hyperlink" Target="https://maps.google.com/?q=16.78149945,-96.946292229999997" TargetMode="External"/><Relationship Id="rId2106" Type="http://schemas.openxmlformats.org/officeDocument/2006/relationships/hyperlink" Target="https://maps.google.com/?q=16.433347,-95.021687" TargetMode="External"/><Relationship Id="rId2313" Type="http://schemas.openxmlformats.org/officeDocument/2006/relationships/hyperlink" Target="https://maps.google.com/?q=16.279058,-97.820240999999996" TargetMode="External"/><Relationship Id="rId2520" Type="http://schemas.openxmlformats.org/officeDocument/2006/relationships/hyperlink" Target="https://maps.google.com/?q=16.38570671342324,-96.841009879760563" TargetMode="External"/><Relationship Id="rId2758" Type="http://schemas.openxmlformats.org/officeDocument/2006/relationships/hyperlink" Target="https://maps.google.com/?q=18.082986129527,-96.175768581481606" TargetMode="External"/><Relationship Id="rId2965" Type="http://schemas.openxmlformats.org/officeDocument/2006/relationships/hyperlink" Target="https://maps.google.com/?q=17.431263,-98.291143000000005" TargetMode="External"/><Relationship Id="rId937" Type="http://schemas.openxmlformats.org/officeDocument/2006/relationships/hyperlink" Target="https://maps.google.com/?q=16.6765711921162,-94.7751218309769" TargetMode="External"/><Relationship Id="rId1122" Type="http://schemas.openxmlformats.org/officeDocument/2006/relationships/hyperlink" Target="https://maps.google.com/?q=17.38144,-96.160149000000004" TargetMode="External"/><Relationship Id="rId1567" Type="http://schemas.openxmlformats.org/officeDocument/2006/relationships/hyperlink" Target="https://maps.google.com/?q=16.78980989269964,-96.901522402131874" TargetMode="External"/><Relationship Id="rId1774" Type="http://schemas.openxmlformats.org/officeDocument/2006/relationships/hyperlink" Target="https://maps.google.com/?q=15.772995,-96.140876700000007" TargetMode="External"/><Relationship Id="rId1981" Type="http://schemas.openxmlformats.org/officeDocument/2006/relationships/hyperlink" Target="https://maps.google.com/?q=15.746144,-96.465182999999996" TargetMode="External"/><Relationship Id="rId2618" Type="http://schemas.openxmlformats.org/officeDocument/2006/relationships/hyperlink" Target="https://maps.google.com/?q=18.1014606953049,-96.102768999999697" TargetMode="External"/><Relationship Id="rId2825" Type="http://schemas.openxmlformats.org/officeDocument/2006/relationships/hyperlink" Target="https://maps.google.com/?q=17.0150883321197,-97.499921782754896" TargetMode="External"/><Relationship Id="rId66" Type="http://schemas.openxmlformats.org/officeDocument/2006/relationships/hyperlink" Target="https://maps.google.com/?q=16.9829376983933,-96.8910520577071" TargetMode="External"/><Relationship Id="rId1427" Type="http://schemas.openxmlformats.org/officeDocument/2006/relationships/hyperlink" Target="https://maps.google.com/?q=16.78867738,-96.913952390000006" TargetMode="External"/><Relationship Id="rId1634" Type="http://schemas.openxmlformats.org/officeDocument/2006/relationships/hyperlink" Target="https://maps.google.com/?q=17.24508066,-97.794320020000001" TargetMode="External"/><Relationship Id="rId1841" Type="http://schemas.openxmlformats.org/officeDocument/2006/relationships/hyperlink" Target="https://maps.google.com/?q=17.87503,-96.596727" TargetMode="External"/><Relationship Id="rId3087" Type="http://schemas.openxmlformats.org/officeDocument/2006/relationships/hyperlink" Target="https://maps.google.com/?q=16.4318839138356,-95.026325379920493" TargetMode="External"/><Relationship Id="rId3294" Type="http://schemas.openxmlformats.org/officeDocument/2006/relationships/printerSettings" Target="../printerSettings/printerSettings2.bin"/><Relationship Id="rId1939" Type="http://schemas.openxmlformats.org/officeDocument/2006/relationships/hyperlink" Target="https://maps.google.com/?q=17.331248,-96.487900999999994" TargetMode="External"/><Relationship Id="rId1701" Type="http://schemas.openxmlformats.org/officeDocument/2006/relationships/hyperlink" Target="https://maps.google.com/?q=17.310356626507,-97.943384896473802" TargetMode="External"/><Relationship Id="rId3154" Type="http://schemas.openxmlformats.org/officeDocument/2006/relationships/hyperlink" Target="https://maps.google.com/?q=16.4436969528345,-95.006201267553195" TargetMode="External"/><Relationship Id="rId282" Type="http://schemas.openxmlformats.org/officeDocument/2006/relationships/hyperlink" Target="https://maps.google.com/?q=17.06734118229,-96.960384317791096" TargetMode="External"/><Relationship Id="rId587" Type="http://schemas.openxmlformats.org/officeDocument/2006/relationships/hyperlink" Target="https://maps.google.com/?q=17.2687785640151,-98.270382635581996" TargetMode="External"/><Relationship Id="rId2170" Type="http://schemas.openxmlformats.org/officeDocument/2006/relationships/hyperlink" Target="https://maps.google.com/?q=16.791625,-96.674999" TargetMode="External"/><Relationship Id="rId2268" Type="http://schemas.openxmlformats.org/officeDocument/2006/relationships/hyperlink" Target="https://maps.google.com/?q=17.267449,-97.680485000000004" TargetMode="External"/><Relationship Id="rId3014" Type="http://schemas.openxmlformats.org/officeDocument/2006/relationships/hyperlink" Target="https://maps.google.com/?q=16.4245818500143,-95.018352520786493" TargetMode="External"/><Relationship Id="rId3221" Type="http://schemas.openxmlformats.org/officeDocument/2006/relationships/hyperlink" Target="https://maps.google.com/?q=15.746144,-96.465182999999996" TargetMode="External"/><Relationship Id="rId8" Type="http://schemas.openxmlformats.org/officeDocument/2006/relationships/hyperlink" Target="https://maps.google.com/?q=17.068673911576067,-96.73081274034334" TargetMode="External"/><Relationship Id="rId142" Type="http://schemas.openxmlformats.org/officeDocument/2006/relationships/hyperlink" Target="https://maps.google.com/?q=16.7805100304683,-96.582817658895607" TargetMode="External"/><Relationship Id="rId447" Type="http://schemas.openxmlformats.org/officeDocument/2006/relationships/hyperlink" Target="https://maps.google.com/?q=17.41007058,-96.930624030000004" TargetMode="External"/><Relationship Id="rId794" Type="http://schemas.openxmlformats.org/officeDocument/2006/relationships/hyperlink" Target="https://maps.google.com/?q=16.892783436217,-95.036833387731605" TargetMode="External"/><Relationship Id="rId1077" Type="http://schemas.openxmlformats.org/officeDocument/2006/relationships/hyperlink" Target="https://maps.google.com/?q=17.380899,-96.160287999999994" TargetMode="External"/><Relationship Id="rId2030" Type="http://schemas.openxmlformats.org/officeDocument/2006/relationships/hyperlink" Target="https://maps.google.com/?q=17.335316,-98.012051" TargetMode="External"/><Relationship Id="rId2128" Type="http://schemas.openxmlformats.org/officeDocument/2006/relationships/hyperlink" Target="https://maps.google.com/?q=17.806621,-97.776161999999999" TargetMode="External"/><Relationship Id="rId2475" Type="http://schemas.openxmlformats.org/officeDocument/2006/relationships/hyperlink" Target="https://maps.google.com/?q=16.384757616238158,-96.837388154342619" TargetMode="External"/><Relationship Id="rId2682" Type="http://schemas.openxmlformats.org/officeDocument/2006/relationships/hyperlink" Target="https://maps.google.com/?q=18.0525544920606,-96.141546834931802" TargetMode="External"/><Relationship Id="rId2987" Type="http://schemas.openxmlformats.org/officeDocument/2006/relationships/hyperlink" Target="https://maps.google.com/?q=16.41513188061,-95.025784064300296" TargetMode="External"/><Relationship Id="rId654" Type="http://schemas.openxmlformats.org/officeDocument/2006/relationships/hyperlink" Target="https://maps.google.com/?q=17.22182319,-98.193915899999993" TargetMode="External"/><Relationship Id="rId861" Type="http://schemas.openxmlformats.org/officeDocument/2006/relationships/hyperlink" Target="https://maps.google.com/?q=16.714292,-94.746562999999995" TargetMode="External"/><Relationship Id="rId959" Type="http://schemas.openxmlformats.org/officeDocument/2006/relationships/hyperlink" Target="https://maps.google.com/?q=17.377945,-96.160129999999995" TargetMode="External"/><Relationship Id="rId1284" Type="http://schemas.openxmlformats.org/officeDocument/2006/relationships/hyperlink" Target="https://maps.google.com/?q=16.78298158,-96.934459230000002" TargetMode="External"/><Relationship Id="rId1491" Type="http://schemas.openxmlformats.org/officeDocument/2006/relationships/hyperlink" Target="https://maps.google.com/?q=16.78916391,-96.907863899999995" TargetMode="External"/><Relationship Id="rId1589" Type="http://schemas.openxmlformats.org/officeDocument/2006/relationships/hyperlink" Target="https://maps.google.com/?q=16.79008943,-96.903704279999999" TargetMode="External"/><Relationship Id="rId2335" Type="http://schemas.openxmlformats.org/officeDocument/2006/relationships/hyperlink" Target="https://maps.google.com/?q=17.511838,-97.488547999999994" TargetMode="External"/><Relationship Id="rId2542" Type="http://schemas.openxmlformats.org/officeDocument/2006/relationships/hyperlink" Target="https://maps.google.com/?q=16.386584363748078,-96.836098770260492" TargetMode="External"/><Relationship Id="rId307" Type="http://schemas.openxmlformats.org/officeDocument/2006/relationships/hyperlink" Target="https://maps.google.com/?q=16.6170720597527,-97.791385665359002" TargetMode="External"/><Relationship Id="rId514" Type="http://schemas.openxmlformats.org/officeDocument/2006/relationships/hyperlink" Target="https://maps.google.com/?q=17.1387038668375,-97.689715860118895" TargetMode="External"/><Relationship Id="rId721" Type="http://schemas.openxmlformats.org/officeDocument/2006/relationships/hyperlink" Target="https://maps.google.com/?q=17.2609121344017,-98.2649790002218" TargetMode="External"/><Relationship Id="rId1144" Type="http://schemas.openxmlformats.org/officeDocument/2006/relationships/hyperlink" Target="https://maps.google.com/?q=17.381861,-96.161270999999999" TargetMode="External"/><Relationship Id="rId1351" Type="http://schemas.openxmlformats.org/officeDocument/2006/relationships/hyperlink" Target="https://maps.google.com/?q=16.7875713,-96.897510440000005" TargetMode="External"/><Relationship Id="rId1449" Type="http://schemas.openxmlformats.org/officeDocument/2006/relationships/hyperlink" Target="https://maps.google.com/?q=16.78884777,-96.899088969999994" TargetMode="External"/><Relationship Id="rId1796" Type="http://schemas.openxmlformats.org/officeDocument/2006/relationships/hyperlink" Target="https://maps.google.com/?q=15.7732287,-96.136921700000002" TargetMode="External"/><Relationship Id="rId2402" Type="http://schemas.openxmlformats.org/officeDocument/2006/relationships/hyperlink" Target="https://maps.google.com/?q=16.383071048947354,-96.837555150212665" TargetMode="External"/><Relationship Id="rId2847" Type="http://schemas.openxmlformats.org/officeDocument/2006/relationships/hyperlink" Target="https://maps.google.com/?q=17.0383340382294,-97.509860953372893" TargetMode="External"/><Relationship Id="rId88" Type="http://schemas.openxmlformats.org/officeDocument/2006/relationships/hyperlink" Target="https://maps.google.com/?q=17.0089051563651,-96.890716549598807" TargetMode="External"/><Relationship Id="rId819" Type="http://schemas.openxmlformats.org/officeDocument/2006/relationships/hyperlink" Target="https://maps.google.com/?q=16.712034,-94.745710000000003" TargetMode="External"/><Relationship Id="rId1004" Type="http://schemas.openxmlformats.org/officeDocument/2006/relationships/hyperlink" Target="https://maps.google.com/?q=17.380054,-96.160263999999998" TargetMode="External"/><Relationship Id="rId1211" Type="http://schemas.openxmlformats.org/officeDocument/2006/relationships/hyperlink" Target="https://maps.google.com/?q=17.10443,%20-96.778279" TargetMode="External"/><Relationship Id="rId1656" Type="http://schemas.openxmlformats.org/officeDocument/2006/relationships/hyperlink" Target="https://maps.google.com/?q=17.335796,-97.876480000000001" TargetMode="External"/><Relationship Id="rId1863" Type="http://schemas.openxmlformats.org/officeDocument/2006/relationships/hyperlink" Target="https://maps.google.com/?q=16.279058,-97.820240999999996" TargetMode="External"/><Relationship Id="rId2707" Type="http://schemas.openxmlformats.org/officeDocument/2006/relationships/hyperlink" Target="https://maps.google.com/?q=18.0608971318843,-96.148684879719895" TargetMode="External"/><Relationship Id="rId2914" Type="http://schemas.openxmlformats.org/officeDocument/2006/relationships/hyperlink" Target="https://maps.google.com/?q=17.3255395062312,-98.2405221951997" TargetMode="External"/><Relationship Id="rId1309" Type="http://schemas.openxmlformats.org/officeDocument/2006/relationships/hyperlink" Target="https://maps.google.com/?q=16.78663065,-96.89726134" TargetMode="External"/><Relationship Id="rId1516" Type="http://schemas.openxmlformats.org/officeDocument/2006/relationships/hyperlink" Target="https://maps.google.com/?q=16.78932341,-96.918573089999995" TargetMode="External"/><Relationship Id="rId1723" Type="http://schemas.openxmlformats.org/officeDocument/2006/relationships/hyperlink" Target="https://maps.google.com/?q=16.788328,-96.791228000000004" TargetMode="External"/><Relationship Id="rId1930" Type="http://schemas.openxmlformats.org/officeDocument/2006/relationships/hyperlink" Target="https://maps.google.com/?q=16.791625,-96.674999" TargetMode="External"/><Relationship Id="rId3176" Type="http://schemas.openxmlformats.org/officeDocument/2006/relationships/hyperlink" Target="https://maps.google.com/?q=16.456183661952,-95.014828444533507" TargetMode="External"/><Relationship Id="rId15" Type="http://schemas.openxmlformats.org/officeDocument/2006/relationships/hyperlink" Target="https://maps.google.com/?q=15.98058364,-95.674459450000001" TargetMode="External"/><Relationship Id="rId2192" Type="http://schemas.openxmlformats.org/officeDocument/2006/relationships/hyperlink" Target="https://maps.google.com/?q=16.237076,-97.292351999999994" TargetMode="External"/><Relationship Id="rId3036" Type="http://schemas.openxmlformats.org/officeDocument/2006/relationships/hyperlink" Target="https://maps.google.com/?q=16.4262922092227,-95.029695963203807" TargetMode="External"/><Relationship Id="rId3243" Type="http://schemas.openxmlformats.org/officeDocument/2006/relationships/hyperlink" Target="https://maps.google.com/?q=17.458341,-97.225285" TargetMode="External"/><Relationship Id="rId164" Type="http://schemas.openxmlformats.org/officeDocument/2006/relationships/hyperlink" Target="https://maps.google.com/?q=16.7821158787817,-96.578324038028796" TargetMode="External"/><Relationship Id="rId371" Type="http://schemas.openxmlformats.org/officeDocument/2006/relationships/hyperlink" Target="https://maps.google.com/?q=16.500622,-97.780743000000001" TargetMode="External"/><Relationship Id="rId2052" Type="http://schemas.openxmlformats.org/officeDocument/2006/relationships/hyperlink" Target="https://maps.google.com/?q=16.950706,-96.750504000000006" TargetMode="External"/><Relationship Id="rId2497" Type="http://schemas.openxmlformats.org/officeDocument/2006/relationships/hyperlink" Target="https://maps.google.com/?q=16.385303604209042,-96.842519567137188" TargetMode="External"/><Relationship Id="rId469" Type="http://schemas.openxmlformats.org/officeDocument/2006/relationships/hyperlink" Target="https://maps.google.com/?q=17.422318,-96.932868999999997" TargetMode="External"/><Relationship Id="rId676" Type="http://schemas.openxmlformats.org/officeDocument/2006/relationships/hyperlink" Target="https://maps.google.com/?q=17.2568363623438,-98.26079" TargetMode="External"/><Relationship Id="rId883" Type="http://schemas.openxmlformats.org/officeDocument/2006/relationships/hyperlink" Target="https://maps.google.com/?q=16.715255,-94.749684000000002" TargetMode="External"/><Relationship Id="rId1099" Type="http://schemas.openxmlformats.org/officeDocument/2006/relationships/hyperlink" Target="https://maps.google.com/?q=17.381095,-96.159923000000006" TargetMode="External"/><Relationship Id="rId2357" Type="http://schemas.openxmlformats.org/officeDocument/2006/relationships/hyperlink" Target="https://maps.google.com/?q=17.063778,-96.729971000000006" TargetMode="External"/><Relationship Id="rId2564" Type="http://schemas.openxmlformats.org/officeDocument/2006/relationships/hyperlink" Target="https://maps.google.com/?q=16.38729502968129,-96.839326947378026" TargetMode="External"/><Relationship Id="rId3103" Type="http://schemas.openxmlformats.org/officeDocument/2006/relationships/hyperlink" Target="https://maps.google.com/?q=16.4367523046247,-95.025953128784707" TargetMode="External"/><Relationship Id="rId231" Type="http://schemas.openxmlformats.org/officeDocument/2006/relationships/hyperlink" Target="https://maps.google.com/?q=16.9795028027036,-97.056380220866899" TargetMode="External"/><Relationship Id="rId329" Type="http://schemas.openxmlformats.org/officeDocument/2006/relationships/hyperlink" Target="https://maps.google.com/?q=16.5164287477901,-97.780199607731504" TargetMode="External"/><Relationship Id="rId536" Type="http://schemas.openxmlformats.org/officeDocument/2006/relationships/hyperlink" Target="https://maps.google.com/?q=17.1494718101933,-97.702591457672099" TargetMode="External"/><Relationship Id="rId1166" Type="http://schemas.openxmlformats.org/officeDocument/2006/relationships/hyperlink" Target="https://maps.google.com/?q=17.382429,-96.166326999999995" TargetMode="External"/><Relationship Id="rId1373" Type="http://schemas.openxmlformats.org/officeDocument/2006/relationships/hyperlink" Target="https://maps.google.com/?q=16.7879301,-96.916733949999994" TargetMode="External"/><Relationship Id="rId2217" Type="http://schemas.openxmlformats.org/officeDocument/2006/relationships/hyperlink" Target="https://maps.google.com/?q=17.801687,-96.959688" TargetMode="External"/><Relationship Id="rId2771" Type="http://schemas.openxmlformats.org/officeDocument/2006/relationships/hyperlink" Target="https://maps.google.com/?q=18.0840072251377,-96.168243375105604" TargetMode="External"/><Relationship Id="rId2869" Type="http://schemas.openxmlformats.org/officeDocument/2006/relationships/hyperlink" Target="https://maps.google.com/?q=17.0625551691598,-97.476387210802898" TargetMode="External"/><Relationship Id="rId743" Type="http://schemas.openxmlformats.org/officeDocument/2006/relationships/hyperlink" Target="https://maps.google.com/?q=16.881695152753,-95.027995542327801" TargetMode="External"/><Relationship Id="rId950" Type="http://schemas.openxmlformats.org/officeDocument/2006/relationships/hyperlink" Target="https://maps.google.com/?q=16.6804495719763,-94.771797466270399" TargetMode="External"/><Relationship Id="rId1026" Type="http://schemas.openxmlformats.org/officeDocument/2006/relationships/hyperlink" Target="https://maps.google.com/?q=17.380338,-96.162914999999998" TargetMode="External"/><Relationship Id="rId1580" Type="http://schemas.openxmlformats.org/officeDocument/2006/relationships/hyperlink" Target="https://maps.google.com/?q=16.78993019,-96.897542729999998" TargetMode="External"/><Relationship Id="rId1678" Type="http://schemas.openxmlformats.org/officeDocument/2006/relationships/hyperlink" Target="https://maps.google.com/?q=17.25738852,-97.800807680000005" TargetMode="External"/><Relationship Id="rId1885" Type="http://schemas.openxmlformats.org/officeDocument/2006/relationships/hyperlink" Target="https://maps.google.com/?q=17.511838,-97.488547999999994" TargetMode="External"/><Relationship Id="rId2424" Type="http://schemas.openxmlformats.org/officeDocument/2006/relationships/hyperlink" Target="https://maps.google.com/?q=16.383893929541294,-96.836429527213127" TargetMode="External"/><Relationship Id="rId2631" Type="http://schemas.openxmlformats.org/officeDocument/2006/relationships/hyperlink" Target="https://maps.google.com/?q=17.985490963114,-96.101264116567705" TargetMode="External"/><Relationship Id="rId2729" Type="http://schemas.openxmlformats.org/officeDocument/2006/relationships/hyperlink" Target="https://maps.google.com/?q=18.0739911482438,-96.173088898147697" TargetMode="External"/><Relationship Id="rId2936" Type="http://schemas.openxmlformats.org/officeDocument/2006/relationships/hyperlink" Target="https://maps.google.com/?q=17.337789,-98.171036000000001" TargetMode="External"/><Relationship Id="rId603" Type="http://schemas.openxmlformats.org/officeDocument/2006/relationships/hyperlink" Target="https://maps.google.com/?q=17.2728752705751,-98.276681951238004" TargetMode="External"/><Relationship Id="rId810" Type="http://schemas.openxmlformats.org/officeDocument/2006/relationships/hyperlink" Target="https://maps.google.com/?q=16.87949256934,-95.0523091165675" TargetMode="External"/><Relationship Id="rId908" Type="http://schemas.openxmlformats.org/officeDocument/2006/relationships/hyperlink" Target="https://maps.google.com/?q=16.716439,-94.749870999999999" TargetMode="External"/><Relationship Id="rId1233" Type="http://schemas.openxmlformats.org/officeDocument/2006/relationships/hyperlink" Target="https://maps.google.com/?q=17.103713067,-96.775090725" TargetMode="External"/><Relationship Id="rId1440" Type="http://schemas.openxmlformats.org/officeDocument/2006/relationships/hyperlink" Target="https://maps.google.com/?q=16.78877369,-96.900320910000005" TargetMode="External"/><Relationship Id="rId1538" Type="http://schemas.openxmlformats.org/officeDocument/2006/relationships/hyperlink" Target="https://maps.google.com/?q=16.78955233,-96.904348229999997" TargetMode="External"/><Relationship Id="rId1300" Type="http://schemas.openxmlformats.org/officeDocument/2006/relationships/hyperlink" Target="https://maps.google.com/?q=16.78616287,-96.929316929999999" TargetMode="External"/><Relationship Id="rId1745" Type="http://schemas.openxmlformats.org/officeDocument/2006/relationships/hyperlink" Target="https://maps.google.com/?q=16.332749,-96.592572000000004" TargetMode="External"/><Relationship Id="rId1952" Type="http://schemas.openxmlformats.org/officeDocument/2006/relationships/hyperlink" Target="https://maps.google.com/?q=16.237076,-97.292351999999994" TargetMode="External"/><Relationship Id="rId3198" Type="http://schemas.openxmlformats.org/officeDocument/2006/relationships/hyperlink" Target="https://maps.google.com/?q=16.519807,-96.983885000000001" TargetMode="External"/><Relationship Id="rId37" Type="http://schemas.openxmlformats.org/officeDocument/2006/relationships/hyperlink" Target="https://maps.google.com/?q=15.98878378,-95.678362480000004" TargetMode="External"/><Relationship Id="rId1605" Type="http://schemas.openxmlformats.org/officeDocument/2006/relationships/hyperlink" Target="https://maps.google.com/?q=16.79047449,-96.904548079999998" TargetMode="External"/><Relationship Id="rId1812" Type="http://schemas.openxmlformats.org/officeDocument/2006/relationships/hyperlink" Target="https://maps.google.com/?q=15.7736149,-96.143979200000004" TargetMode="External"/><Relationship Id="rId3058" Type="http://schemas.openxmlformats.org/officeDocument/2006/relationships/hyperlink" Target="https://maps.google.com/?q=16.4283789057751,-95.018268702239894" TargetMode="External"/><Relationship Id="rId3265" Type="http://schemas.openxmlformats.org/officeDocument/2006/relationships/hyperlink" Target="https://maps.google.com/?q=16.393798,-96.590362" TargetMode="External"/><Relationship Id="rId186" Type="http://schemas.openxmlformats.org/officeDocument/2006/relationships/hyperlink" Target="https://maps.google.com/?q=16.7832655767523,-96.587214786466802" TargetMode="External"/><Relationship Id="rId393" Type="http://schemas.openxmlformats.org/officeDocument/2006/relationships/hyperlink" Target="https://maps.google.com/?q=16.491817,-97.584709000000004" TargetMode="External"/><Relationship Id="rId2074" Type="http://schemas.openxmlformats.org/officeDocument/2006/relationships/hyperlink" Target="https://maps.google.com/?q=16.328751,-96.596529000000004" TargetMode="External"/><Relationship Id="rId2281" Type="http://schemas.openxmlformats.org/officeDocument/2006/relationships/hyperlink" Target="https://maps.google.com/?q=15.746144,-96.465182999999996" TargetMode="External"/><Relationship Id="rId3125" Type="http://schemas.openxmlformats.org/officeDocument/2006/relationships/hyperlink" Target="https://maps.google.com/?q=16.4393045934203,-95.029195785549007" TargetMode="External"/><Relationship Id="rId253" Type="http://schemas.openxmlformats.org/officeDocument/2006/relationships/hyperlink" Target="https://maps.google.com/?q=16.9684299872609,-97.031453212209001" TargetMode="External"/><Relationship Id="rId460" Type="http://schemas.openxmlformats.org/officeDocument/2006/relationships/hyperlink" Target="https://maps.google.com/?q=17.4136255184886,-96.930769604970195" TargetMode="External"/><Relationship Id="rId698" Type="http://schemas.openxmlformats.org/officeDocument/2006/relationships/hyperlink" Target="https://maps.google.com/?q=17.2590222834301,-98.257771682208997" TargetMode="External"/><Relationship Id="rId1090" Type="http://schemas.openxmlformats.org/officeDocument/2006/relationships/hyperlink" Target="https://maps.google.com/?q=17.381028,-96.161242000000001" TargetMode="External"/><Relationship Id="rId2141" Type="http://schemas.openxmlformats.org/officeDocument/2006/relationships/hyperlink" Target="https://maps.google.com/?q=16.866371,-96.785623000000001" TargetMode="External"/><Relationship Id="rId2379" Type="http://schemas.openxmlformats.org/officeDocument/2006/relationships/hyperlink" Target="https://maps.google.com/?q=16.380687723385407,-96.847308962674973" TargetMode="External"/><Relationship Id="rId2586" Type="http://schemas.openxmlformats.org/officeDocument/2006/relationships/hyperlink" Target="https://maps.google.com/?q=16.3933801697393,-96.842551869195148" TargetMode="External"/><Relationship Id="rId2793" Type="http://schemas.openxmlformats.org/officeDocument/2006/relationships/hyperlink" Target="https://maps.google.com/?q=18.0961902751902,-96.163259787119898" TargetMode="External"/><Relationship Id="rId113" Type="http://schemas.openxmlformats.org/officeDocument/2006/relationships/hyperlink" Target="https://maps.google.com/?q=16.9513124562776,-96.898249460153494" TargetMode="External"/><Relationship Id="rId320" Type="http://schemas.openxmlformats.org/officeDocument/2006/relationships/hyperlink" Target="https://maps.google.com/?q=16.5137671452295,-97.780921455581904" TargetMode="External"/><Relationship Id="rId558" Type="http://schemas.openxmlformats.org/officeDocument/2006/relationships/hyperlink" Target="https://maps.google.com/?q=16.435941,-95.033376" TargetMode="External"/><Relationship Id="rId765" Type="http://schemas.openxmlformats.org/officeDocument/2006/relationships/hyperlink" Target="https://maps.google.com/?q=16.8200988538264,-95.119846949999996" TargetMode="External"/><Relationship Id="rId972" Type="http://schemas.openxmlformats.org/officeDocument/2006/relationships/hyperlink" Target="https://maps.google.com/?q=17.37933,-96.160353000000001" TargetMode="External"/><Relationship Id="rId1188" Type="http://schemas.openxmlformats.org/officeDocument/2006/relationships/hyperlink" Target="https://maps.google.com/?q=17.10154,%20-96.772508" TargetMode="External"/><Relationship Id="rId1395" Type="http://schemas.openxmlformats.org/officeDocument/2006/relationships/hyperlink" Target="https://maps.google.com/?q=16.78825746,-96.914685930000005" TargetMode="External"/><Relationship Id="rId2001" Type="http://schemas.openxmlformats.org/officeDocument/2006/relationships/hyperlink" Target="https://maps.google.com/?q=17.33873,-96.152553999999995" TargetMode="External"/><Relationship Id="rId2239" Type="http://schemas.openxmlformats.org/officeDocument/2006/relationships/hyperlink" Target="https://maps.google.com/?q=17.331248,-96.487900999999994" TargetMode="External"/><Relationship Id="rId2446" Type="http://schemas.openxmlformats.org/officeDocument/2006/relationships/hyperlink" Target="https://maps.google.com/?q=16.384333732195685,-96.836123621489293" TargetMode="External"/><Relationship Id="rId2653" Type="http://schemas.openxmlformats.org/officeDocument/2006/relationships/hyperlink" Target="https://maps.google.com/?q=18.1245651359206,-96.001111227623497" TargetMode="External"/><Relationship Id="rId2860" Type="http://schemas.openxmlformats.org/officeDocument/2006/relationships/hyperlink" Target="https://maps.google.com/?q=17.010423743243,-97.464726224536804" TargetMode="External"/><Relationship Id="rId418" Type="http://schemas.openxmlformats.org/officeDocument/2006/relationships/hyperlink" Target="https://maps.google.com/?q=17.40264422,-96.929008859999996" TargetMode="External"/><Relationship Id="rId625" Type="http://schemas.openxmlformats.org/officeDocument/2006/relationships/hyperlink" Target="https://maps.google.com/?q=17.2761015682121,-98.277556718910404" TargetMode="External"/><Relationship Id="rId832" Type="http://schemas.openxmlformats.org/officeDocument/2006/relationships/hyperlink" Target="https://maps.google.com/?q=16.712892,-94.748023000000003" TargetMode="External"/><Relationship Id="rId1048" Type="http://schemas.openxmlformats.org/officeDocument/2006/relationships/hyperlink" Target="https://maps.google.com/?q=17.380532,-96.161726999999999" TargetMode="External"/><Relationship Id="rId1255" Type="http://schemas.openxmlformats.org/officeDocument/2006/relationships/hyperlink" Target="https://maps.google.com/?q=16.78106587,-96.949286939999993" TargetMode="External"/><Relationship Id="rId1462" Type="http://schemas.openxmlformats.org/officeDocument/2006/relationships/hyperlink" Target="https://maps.google.com/?q=16.78896102,-96.891812619999996" TargetMode="External"/><Relationship Id="rId2306" Type="http://schemas.openxmlformats.org/officeDocument/2006/relationships/hyperlink" Target="https://maps.google.com/?q=17.724615,-97.323898" TargetMode="External"/><Relationship Id="rId2513" Type="http://schemas.openxmlformats.org/officeDocument/2006/relationships/hyperlink" Target="https://maps.google.com/?q=16.385539800310728,-96.839341321688892" TargetMode="External"/><Relationship Id="rId2958" Type="http://schemas.openxmlformats.org/officeDocument/2006/relationships/hyperlink" Target="https://maps.google.com/?q=17.430762,-98.291911999999996" TargetMode="External"/><Relationship Id="rId1115" Type="http://schemas.openxmlformats.org/officeDocument/2006/relationships/hyperlink" Target="https://maps.google.com/?q=17.381296,-96.160487000000003" TargetMode="External"/><Relationship Id="rId1322" Type="http://schemas.openxmlformats.org/officeDocument/2006/relationships/hyperlink" Target="https://maps.google.com/?q=16.78688378,-96.898864219999993" TargetMode="External"/><Relationship Id="rId1767" Type="http://schemas.openxmlformats.org/officeDocument/2006/relationships/hyperlink" Target="https://maps.google.com/?q=17.310742,-96.910285000000002" TargetMode="External"/><Relationship Id="rId1974" Type="http://schemas.openxmlformats.org/officeDocument/2006/relationships/hyperlink" Target="https://maps.google.com/?q=17.501442,-98.142583999999999" TargetMode="External"/><Relationship Id="rId2720" Type="http://schemas.openxmlformats.org/officeDocument/2006/relationships/hyperlink" Target="https://maps.google.com/?q=18.0624617524411,-96.144992224537006" TargetMode="External"/><Relationship Id="rId2818" Type="http://schemas.openxmlformats.org/officeDocument/2006/relationships/hyperlink" Target="https://maps.google.com/?q=17.0141285582983,-97.500530860118701" TargetMode="External"/><Relationship Id="rId59" Type="http://schemas.openxmlformats.org/officeDocument/2006/relationships/hyperlink" Target="https://maps.google.com/?q=16.9806678088031,-96.889244107969205" TargetMode="External"/><Relationship Id="rId1627" Type="http://schemas.openxmlformats.org/officeDocument/2006/relationships/hyperlink" Target="https://maps.google.com/?q=17.257507,-97.809493" TargetMode="External"/><Relationship Id="rId1834" Type="http://schemas.openxmlformats.org/officeDocument/2006/relationships/hyperlink" Target="https://maps.google.com/?q=17.72100765001568,-97.86927573609931" TargetMode="External"/><Relationship Id="rId3287" Type="http://schemas.openxmlformats.org/officeDocument/2006/relationships/hyperlink" Target="https://maps.google.com/?q=17.774771,-96.326058" TargetMode="External"/><Relationship Id="rId2096" Type="http://schemas.openxmlformats.org/officeDocument/2006/relationships/hyperlink" Target="https://maps.google.com/?q=17.724615,-97.323898" TargetMode="External"/><Relationship Id="rId1901" Type="http://schemas.openxmlformats.org/officeDocument/2006/relationships/hyperlink" Target="https://maps.google.com/?q=16.866371,-96.785623000000001" TargetMode="External"/><Relationship Id="rId3147" Type="http://schemas.openxmlformats.org/officeDocument/2006/relationships/hyperlink" Target="https://maps.google.com/?q=16.4414725752683,-95.010452111776402" TargetMode="External"/><Relationship Id="rId275" Type="http://schemas.openxmlformats.org/officeDocument/2006/relationships/hyperlink" Target="https://maps.google.com/?q=17.065725930934,-96.964140462327904" TargetMode="External"/><Relationship Id="rId482" Type="http://schemas.openxmlformats.org/officeDocument/2006/relationships/hyperlink" Target="https://maps.google.com/?q=17.3800941633,-96.919074042899993" TargetMode="External"/><Relationship Id="rId2163" Type="http://schemas.openxmlformats.org/officeDocument/2006/relationships/hyperlink" Target="https://maps.google.com/?q=16.279058,-97.820240999999996" TargetMode="External"/><Relationship Id="rId2370" Type="http://schemas.openxmlformats.org/officeDocument/2006/relationships/hyperlink" Target="https://maps.google.com/?q=18.081169,-96.118475000000004" TargetMode="External"/><Relationship Id="rId3007" Type="http://schemas.openxmlformats.org/officeDocument/2006/relationships/hyperlink" Target="https://maps.google.com/?q=16.4236919565803,-95.029021913876605" TargetMode="External"/><Relationship Id="rId3214" Type="http://schemas.openxmlformats.org/officeDocument/2006/relationships/hyperlink" Target="https://maps.google.com/?q=17.501442,-98.142583999999999" TargetMode="External"/><Relationship Id="rId135" Type="http://schemas.openxmlformats.org/officeDocument/2006/relationships/hyperlink" Target="https://maps.google.com/?q=16.7799980629897,-96.573112326389307" TargetMode="External"/><Relationship Id="rId342" Type="http://schemas.openxmlformats.org/officeDocument/2006/relationships/hyperlink" Target="https://maps.google.com/?q=16.5187160373221,-97.778912632130201" TargetMode="External"/><Relationship Id="rId787" Type="http://schemas.openxmlformats.org/officeDocument/2006/relationships/hyperlink" Target="https://maps.google.com/?q=16.8890620413635,-95.042391688325907" TargetMode="External"/><Relationship Id="rId994" Type="http://schemas.openxmlformats.org/officeDocument/2006/relationships/hyperlink" Target="https://maps.google.com/?q=17.379946,-96.159947000000003" TargetMode="External"/><Relationship Id="rId2023" Type="http://schemas.openxmlformats.org/officeDocument/2006/relationships/hyperlink" Target="https://maps.google.com/?q=16.95558,-96.479206000000005" TargetMode="External"/><Relationship Id="rId2230" Type="http://schemas.openxmlformats.org/officeDocument/2006/relationships/hyperlink" Target="https://maps.google.com/?q=16.791625,-96.674999" TargetMode="External"/><Relationship Id="rId2468" Type="http://schemas.openxmlformats.org/officeDocument/2006/relationships/hyperlink" Target="https://maps.google.com/?q=16.384625140170847,-96.841428070497301" TargetMode="External"/><Relationship Id="rId2675" Type="http://schemas.openxmlformats.org/officeDocument/2006/relationships/hyperlink" Target="https://maps.google.com/?q=18.052208356342,-96.141832746546797" TargetMode="External"/><Relationship Id="rId2882" Type="http://schemas.openxmlformats.org/officeDocument/2006/relationships/hyperlink" Target="https://maps.google.com/?q=17.3278,%20-98.240480" TargetMode="External"/><Relationship Id="rId202" Type="http://schemas.openxmlformats.org/officeDocument/2006/relationships/hyperlink" Target="https://maps.google.com/?q=16.7841650766733,-96.584134142939703" TargetMode="External"/><Relationship Id="rId647" Type="http://schemas.openxmlformats.org/officeDocument/2006/relationships/hyperlink" Target="https://maps.google.com/?q=17.22032262,-98.191798050000003" TargetMode="External"/><Relationship Id="rId854" Type="http://schemas.openxmlformats.org/officeDocument/2006/relationships/hyperlink" Target="https://maps.google.com/?q=16.713868,-94.745292000000006" TargetMode="External"/><Relationship Id="rId1277" Type="http://schemas.openxmlformats.org/officeDocument/2006/relationships/hyperlink" Target="https://maps.google.com/?q=16.78234565,-96.942183259999993" TargetMode="External"/><Relationship Id="rId1484" Type="http://schemas.openxmlformats.org/officeDocument/2006/relationships/hyperlink" Target="https://maps.google.com/?q=16.789131,-96.891924930000002" TargetMode="External"/><Relationship Id="rId1691" Type="http://schemas.openxmlformats.org/officeDocument/2006/relationships/hyperlink" Target="https://maps.google.com/?q=17.277824,-97.872626100000005" TargetMode="External"/><Relationship Id="rId2328" Type="http://schemas.openxmlformats.org/officeDocument/2006/relationships/hyperlink" Target="https://maps.google.com/?q=17.267449,-97.680485000000004" TargetMode="External"/><Relationship Id="rId2535" Type="http://schemas.openxmlformats.org/officeDocument/2006/relationships/hyperlink" Target="https://maps.google.com/?q=16.386357781748934,-96.839910583101286" TargetMode="External"/><Relationship Id="rId2742" Type="http://schemas.openxmlformats.org/officeDocument/2006/relationships/hyperlink" Target="https://maps.google.com/?q=18.0767980847564,-96.1785939909836" TargetMode="External"/><Relationship Id="rId507" Type="http://schemas.openxmlformats.org/officeDocument/2006/relationships/hyperlink" Target="https://maps.google.com/?q=17.402035,-96.916543000000004" TargetMode="External"/><Relationship Id="rId714" Type="http://schemas.openxmlformats.org/officeDocument/2006/relationships/hyperlink" Target="https://maps.google.com/?q=17.2602124062647,-98.261138341104498" TargetMode="External"/><Relationship Id="rId921" Type="http://schemas.openxmlformats.org/officeDocument/2006/relationships/hyperlink" Target="https://maps.google.com/?q=16.6736801795058,-94.776627690807302" TargetMode="External"/><Relationship Id="rId1137" Type="http://schemas.openxmlformats.org/officeDocument/2006/relationships/hyperlink" Target="https://maps.google.com/?q=17.381696,-96.162366000000006" TargetMode="External"/><Relationship Id="rId1344" Type="http://schemas.openxmlformats.org/officeDocument/2006/relationships/hyperlink" Target="https://maps.google.com/?q=16.78740666,-96.900036319999998" TargetMode="External"/><Relationship Id="rId1551" Type="http://schemas.openxmlformats.org/officeDocument/2006/relationships/hyperlink" Target="https://maps.google.com/?q=16.78968355,-96.90297486" TargetMode="External"/><Relationship Id="rId1789" Type="http://schemas.openxmlformats.org/officeDocument/2006/relationships/hyperlink" Target="https://maps.google.com/?q=15.7731686,-96.138780499999996" TargetMode="External"/><Relationship Id="rId1996" Type="http://schemas.openxmlformats.org/officeDocument/2006/relationships/hyperlink" Target="https://maps.google.com/?q=17.063778,-96.729971000000006" TargetMode="External"/><Relationship Id="rId2602" Type="http://schemas.openxmlformats.org/officeDocument/2006/relationships/hyperlink" Target="https://maps.google.com/?q=16.396571003680634,-96.841370383169291" TargetMode="External"/><Relationship Id="rId50" Type="http://schemas.openxmlformats.org/officeDocument/2006/relationships/hyperlink" Target="https://maps.google.com/?q=16.978907785745,-96.886578506559204" TargetMode="External"/><Relationship Id="rId1204" Type="http://schemas.openxmlformats.org/officeDocument/2006/relationships/hyperlink" Target="https://maps.google.com/?q=17.103971,%20-96.776485" TargetMode="External"/><Relationship Id="rId1411" Type="http://schemas.openxmlformats.org/officeDocument/2006/relationships/hyperlink" Target="https://maps.google.com/?q=16.78850516,-96.914279460000003" TargetMode="External"/><Relationship Id="rId1649" Type="http://schemas.openxmlformats.org/officeDocument/2006/relationships/hyperlink" Target="https://maps.google.com/?q=17.3248518531738,-97.895440453286895" TargetMode="External"/><Relationship Id="rId1856" Type="http://schemas.openxmlformats.org/officeDocument/2006/relationships/hyperlink" Target="https://maps.google.com/?q=17.824164,-97.732095000000001" TargetMode="External"/><Relationship Id="rId2907" Type="http://schemas.openxmlformats.org/officeDocument/2006/relationships/hyperlink" Target="https://maps.google.com/?q=17.322772,-98.237820999999997" TargetMode="External"/><Relationship Id="rId3071" Type="http://schemas.openxmlformats.org/officeDocument/2006/relationships/hyperlink" Target="https://maps.google.com/?q=16.4298734938193,-95.030390472628" TargetMode="External"/><Relationship Id="rId1509" Type="http://schemas.openxmlformats.org/officeDocument/2006/relationships/hyperlink" Target="https://maps.google.com/?q=16.78926596,-96.89639631" TargetMode="External"/><Relationship Id="rId1716" Type="http://schemas.openxmlformats.org/officeDocument/2006/relationships/hyperlink" Target="https://maps.google.com/?q=16.787769,-96.792377999999999" TargetMode="External"/><Relationship Id="rId1923" Type="http://schemas.openxmlformats.org/officeDocument/2006/relationships/hyperlink" Target="https://maps.google.com/?q=16.279058,-97.820240999999996" TargetMode="External"/><Relationship Id="rId3169" Type="http://schemas.openxmlformats.org/officeDocument/2006/relationships/hyperlink" Target="https://maps.google.com/?q=16.4504714825054,-95.021432318279807" TargetMode="External"/><Relationship Id="rId297" Type="http://schemas.openxmlformats.org/officeDocument/2006/relationships/hyperlink" Target="https://maps.google.com/?q=16.6155584281374,-97.786909728836093" TargetMode="External"/><Relationship Id="rId2185" Type="http://schemas.openxmlformats.org/officeDocument/2006/relationships/hyperlink" Target="https://maps.google.com/?q=17.511838,-97.488547999999994" TargetMode="External"/><Relationship Id="rId2392" Type="http://schemas.openxmlformats.org/officeDocument/2006/relationships/hyperlink" Target="https://maps.google.com/?q=16.382556687873954,-96.845206781219034" TargetMode="External"/><Relationship Id="rId3029" Type="http://schemas.openxmlformats.org/officeDocument/2006/relationships/hyperlink" Target="https://maps.google.com/?q=16.42582045816,-95.014868218651799" TargetMode="External"/><Relationship Id="rId3236" Type="http://schemas.openxmlformats.org/officeDocument/2006/relationships/hyperlink" Target="https://maps.google.com/?q=17.063778,-96.729971000000006" TargetMode="External"/><Relationship Id="rId157" Type="http://schemas.openxmlformats.org/officeDocument/2006/relationships/hyperlink" Target="https://maps.google.com/?q=16.7813067259472,-96.584149998882197" TargetMode="External"/><Relationship Id="rId364" Type="http://schemas.openxmlformats.org/officeDocument/2006/relationships/hyperlink" Target="https://maps.google.com/?q=16.500309,-97.780430999999993" TargetMode="External"/><Relationship Id="rId2045" Type="http://schemas.openxmlformats.org/officeDocument/2006/relationships/hyperlink" Target="https://maps.google.com/?q=16.332014,-95.231966" TargetMode="External"/><Relationship Id="rId2697" Type="http://schemas.openxmlformats.org/officeDocument/2006/relationships/hyperlink" Target="https://maps.google.com/?q=18.0556439051226,-96.1478155742398" TargetMode="External"/><Relationship Id="rId571" Type="http://schemas.openxmlformats.org/officeDocument/2006/relationships/hyperlink" Target="https://maps.google.com/?q=17.1767169531664,-98.194664139707896" TargetMode="External"/><Relationship Id="rId669" Type="http://schemas.openxmlformats.org/officeDocument/2006/relationships/hyperlink" Target="https://maps.google.com/?q=17.2563387219732,-98.264962999999995" TargetMode="External"/><Relationship Id="rId876" Type="http://schemas.openxmlformats.org/officeDocument/2006/relationships/hyperlink" Target="https://maps.google.com/?q=16.714903,-94.746651" TargetMode="External"/><Relationship Id="rId1299" Type="http://schemas.openxmlformats.org/officeDocument/2006/relationships/hyperlink" Target="https://maps.google.com/?q=16.786125387545063,-96.904638673609938" TargetMode="External"/><Relationship Id="rId2252" Type="http://schemas.openxmlformats.org/officeDocument/2006/relationships/hyperlink" Target="https://maps.google.com/?q=16.237076,-97.292351999999994" TargetMode="External"/><Relationship Id="rId2557" Type="http://schemas.openxmlformats.org/officeDocument/2006/relationships/hyperlink" Target="https://maps.google.com/?q=16.387122790287897,-96.838858063287034" TargetMode="External"/><Relationship Id="rId224" Type="http://schemas.openxmlformats.org/officeDocument/2006/relationships/hyperlink" Target="https://maps.google.com/?q=16.9780298414647,-97.055371522268402" TargetMode="External"/><Relationship Id="rId431" Type="http://schemas.openxmlformats.org/officeDocument/2006/relationships/hyperlink" Target="https://maps.google.com/?q=17.40966717,-97.013312519999999" TargetMode="External"/><Relationship Id="rId529" Type="http://schemas.openxmlformats.org/officeDocument/2006/relationships/hyperlink" Target="https://maps.google.com/?q=17.1566170432453,-97.719686262912106" TargetMode="External"/><Relationship Id="rId736" Type="http://schemas.openxmlformats.org/officeDocument/2006/relationships/hyperlink" Target="https://maps.google.com/?q=16.8674471686025,-95.054338317791206" TargetMode="External"/><Relationship Id="rId1061" Type="http://schemas.openxmlformats.org/officeDocument/2006/relationships/hyperlink" Target="https://maps.google.com/?q=17.380697,-96.160612" TargetMode="External"/><Relationship Id="rId1159" Type="http://schemas.openxmlformats.org/officeDocument/2006/relationships/hyperlink" Target="https://maps.google.com/?q=17.382145,-96.165884000000005" TargetMode="External"/><Relationship Id="rId1366" Type="http://schemas.openxmlformats.org/officeDocument/2006/relationships/hyperlink" Target="https://maps.google.com/?q=16.78785281,-96.896051099999994" TargetMode="External"/><Relationship Id="rId2112" Type="http://schemas.openxmlformats.org/officeDocument/2006/relationships/hyperlink" Target="https://maps.google.com/?q=16.950706,-96.750504000000006" TargetMode="External"/><Relationship Id="rId2417" Type="http://schemas.openxmlformats.org/officeDocument/2006/relationships/hyperlink" Target="https://maps.google.com/?q=16.38370507003081,-96.841937927079073" TargetMode="External"/><Relationship Id="rId2764" Type="http://schemas.openxmlformats.org/officeDocument/2006/relationships/hyperlink" Target="https://maps.google.com/?q=18.0835602614525,-96.164962640486706" TargetMode="External"/><Relationship Id="rId2971" Type="http://schemas.openxmlformats.org/officeDocument/2006/relationships/hyperlink" Target="https://maps.google.com/?q=17.432225,-98.29571" TargetMode="External"/><Relationship Id="rId943" Type="http://schemas.openxmlformats.org/officeDocument/2006/relationships/hyperlink" Target="https://maps.google.com/?q=16.6791109359044,-94.774056695343702" TargetMode="External"/><Relationship Id="rId1019" Type="http://schemas.openxmlformats.org/officeDocument/2006/relationships/hyperlink" Target="https://maps.google.com/?q=17.380245,-96.161897999999994" TargetMode="External"/><Relationship Id="rId1573" Type="http://schemas.openxmlformats.org/officeDocument/2006/relationships/hyperlink" Target="https://maps.google.com/?q=16.7898571,-96.898207200000002" TargetMode="External"/><Relationship Id="rId1780" Type="http://schemas.openxmlformats.org/officeDocument/2006/relationships/hyperlink" Target="https://maps.google.com/?q=15.7730524,-96.141573800000003" TargetMode="External"/><Relationship Id="rId1878" Type="http://schemas.openxmlformats.org/officeDocument/2006/relationships/hyperlink" Target="https://maps.google.com/?q=17.267449,-97.680485000000004" TargetMode="External"/><Relationship Id="rId2624" Type="http://schemas.openxmlformats.org/officeDocument/2006/relationships/hyperlink" Target="https://maps.google.com/?q=17.9838327586639,-96.099533093254195" TargetMode="External"/><Relationship Id="rId2831" Type="http://schemas.openxmlformats.org/officeDocument/2006/relationships/hyperlink" Target="https://maps.google.com/?q=17.0180184683475,-97.501600232136795" TargetMode="External"/><Relationship Id="rId2929" Type="http://schemas.openxmlformats.org/officeDocument/2006/relationships/hyperlink" Target="https://maps.google.com/?q=17.3373306837678,-98.1724167141208" TargetMode="External"/><Relationship Id="rId72" Type="http://schemas.openxmlformats.org/officeDocument/2006/relationships/hyperlink" Target="https://maps.google.com/?q=16.9842351335014,-96.8900030036354" TargetMode="External"/><Relationship Id="rId803" Type="http://schemas.openxmlformats.org/officeDocument/2006/relationships/hyperlink" Target="https://maps.google.com/?q=16.8974796690983,-95.037443917790995" TargetMode="External"/><Relationship Id="rId1226" Type="http://schemas.openxmlformats.org/officeDocument/2006/relationships/hyperlink" Target="https://maps.google.com/?q=17.102582105,-96.773525748" TargetMode="External"/><Relationship Id="rId1433" Type="http://schemas.openxmlformats.org/officeDocument/2006/relationships/hyperlink" Target="https://maps.google.com/?q=16.78872185,-96.905094160000004" TargetMode="External"/><Relationship Id="rId1640" Type="http://schemas.openxmlformats.org/officeDocument/2006/relationships/hyperlink" Target="https://maps.google.com/?q=17.24992991,-97.797489580000004" TargetMode="External"/><Relationship Id="rId1738" Type="http://schemas.openxmlformats.org/officeDocument/2006/relationships/hyperlink" Target="https://maps.google.com/?q=16.32850900000001,-96.5866934490738" TargetMode="External"/><Relationship Id="rId3093" Type="http://schemas.openxmlformats.org/officeDocument/2006/relationships/hyperlink" Target="https://maps.google.com/?q=16.4332709515093,-95.006928322724704" TargetMode="External"/><Relationship Id="rId1500" Type="http://schemas.openxmlformats.org/officeDocument/2006/relationships/hyperlink" Target="https://maps.google.com/?q=16.78921991,-96.909113360000006" TargetMode="External"/><Relationship Id="rId1945" Type="http://schemas.openxmlformats.org/officeDocument/2006/relationships/hyperlink" Target="https://maps.google.com/?q=17.511838,-97.488547999999994" TargetMode="External"/><Relationship Id="rId3160" Type="http://schemas.openxmlformats.org/officeDocument/2006/relationships/hyperlink" Target="https://maps.google.com/?q=16.4463151971812,-95.022417191423102" TargetMode="External"/><Relationship Id="rId1805" Type="http://schemas.openxmlformats.org/officeDocument/2006/relationships/hyperlink" Target="https://maps.google.com/?q=15.7733771,-96.142162900000002" TargetMode="External"/><Relationship Id="rId3020" Type="http://schemas.openxmlformats.org/officeDocument/2006/relationships/hyperlink" Target="https://maps.google.com/?q=16.4255167205494,-95.016178742305598" TargetMode="External"/><Relationship Id="rId3258" Type="http://schemas.openxmlformats.org/officeDocument/2006/relationships/hyperlink" Target="https://maps.google.com/?q=17.19268,-96.851210" TargetMode="External"/><Relationship Id="rId179" Type="http://schemas.openxmlformats.org/officeDocument/2006/relationships/hyperlink" Target="https://maps.google.com/?q=16.7826664962535,-96.584627528191106" TargetMode="External"/><Relationship Id="rId386" Type="http://schemas.openxmlformats.org/officeDocument/2006/relationships/hyperlink" Target="https://maps.google.com/?q=16.4904010010338,-97.581441355279495" TargetMode="External"/><Relationship Id="rId593" Type="http://schemas.openxmlformats.org/officeDocument/2006/relationships/hyperlink" Target="https://maps.google.com/?q=17.2713186865143,-98.272198682208995" TargetMode="External"/><Relationship Id="rId2067" Type="http://schemas.openxmlformats.org/officeDocument/2006/relationships/hyperlink" Target="https://maps.google.com/?q=17.801687,-96.959688" TargetMode="External"/><Relationship Id="rId2274" Type="http://schemas.openxmlformats.org/officeDocument/2006/relationships/hyperlink" Target="https://maps.google.com/?q=17.501442,-98.142583999999999" TargetMode="External"/><Relationship Id="rId2481" Type="http://schemas.openxmlformats.org/officeDocument/2006/relationships/hyperlink" Target="https://maps.google.com/?q=16.384955151101806,-96.83707907344666" TargetMode="External"/><Relationship Id="rId3118" Type="http://schemas.openxmlformats.org/officeDocument/2006/relationships/hyperlink" Target="https://maps.google.com/?q=16.438485431208,-95.017689604807202" TargetMode="External"/><Relationship Id="rId246" Type="http://schemas.openxmlformats.org/officeDocument/2006/relationships/hyperlink" Target="https://maps.google.com/?q=16.9830962136367,-97.019685509436002" TargetMode="External"/><Relationship Id="rId453" Type="http://schemas.openxmlformats.org/officeDocument/2006/relationships/hyperlink" Target="https://maps.google.com/?q=17.41322,-96.931594000000004" TargetMode="External"/><Relationship Id="rId660" Type="http://schemas.openxmlformats.org/officeDocument/2006/relationships/hyperlink" Target="https://maps.google.com/?q=17.22226315,-98.192503130000006" TargetMode="External"/><Relationship Id="rId898" Type="http://schemas.openxmlformats.org/officeDocument/2006/relationships/hyperlink" Target="https://maps.google.com/?q=16.715756,-94.745677999999998" TargetMode="External"/><Relationship Id="rId1083" Type="http://schemas.openxmlformats.org/officeDocument/2006/relationships/hyperlink" Target="https://maps.google.com/?q=17.380986,-96.161439000000001" TargetMode="External"/><Relationship Id="rId1290" Type="http://schemas.openxmlformats.org/officeDocument/2006/relationships/hyperlink" Target="https://maps.google.com/?q=16.78472782,-96.932110289999997" TargetMode="External"/><Relationship Id="rId2134" Type="http://schemas.openxmlformats.org/officeDocument/2006/relationships/hyperlink" Target="https://maps.google.com/?q=16.328751,-96.596529000000004" TargetMode="External"/><Relationship Id="rId2341" Type="http://schemas.openxmlformats.org/officeDocument/2006/relationships/hyperlink" Target="https://maps.google.com/?q=17.04952972,-96.72751944" TargetMode="External"/><Relationship Id="rId2579" Type="http://schemas.openxmlformats.org/officeDocument/2006/relationships/hyperlink" Target="https://maps.google.com/?q=16.38832644480746,-96.83846132273041" TargetMode="External"/><Relationship Id="rId2786" Type="http://schemas.openxmlformats.org/officeDocument/2006/relationships/hyperlink" Target="https://maps.google.com/?q=18.0880585062973,-96.171595760747906" TargetMode="External"/><Relationship Id="rId2993" Type="http://schemas.openxmlformats.org/officeDocument/2006/relationships/hyperlink" Target="https://maps.google.com/?q=16.4212254141244,-95.023877487990305" TargetMode="External"/><Relationship Id="rId106" Type="http://schemas.openxmlformats.org/officeDocument/2006/relationships/hyperlink" Target="https://maps.google.com/?q=16.9721092162393,-96.913133305557494" TargetMode="External"/><Relationship Id="rId313" Type="http://schemas.openxmlformats.org/officeDocument/2006/relationships/hyperlink" Target="https://maps.google.com/?q=16.6182948578695,-97.791889682209003" TargetMode="External"/><Relationship Id="rId758" Type="http://schemas.openxmlformats.org/officeDocument/2006/relationships/hyperlink" Target="https://maps.google.com/?q=16.8180377188943,-95.117682000000002" TargetMode="External"/><Relationship Id="rId965" Type="http://schemas.openxmlformats.org/officeDocument/2006/relationships/hyperlink" Target="https://maps.google.com/?q=17.378969,-96.160087000000004" TargetMode="External"/><Relationship Id="rId1150" Type="http://schemas.openxmlformats.org/officeDocument/2006/relationships/hyperlink" Target="https://maps.google.com/?q=17.381943,-96.162380999999996" TargetMode="External"/><Relationship Id="rId1388" Type="http://schemas.openxmlformats.org/officeDocument/2006/relationships/hyperlink" Target="https://maps.google.com/?q=16.78814501,-96.918406039999994" TargetMode="External"/><Relationship Id="rId1595" Type="http://schemas.openxmlformats.org/officeDocument/2006/relationships/hyperlink" Target="https://maps.google.com/?q=16.79016337,-96.902514640000007" TargetMode="External"/><Relationship Id="rId2439" Type="http://schemas.openxmlformats.org/officeDocument/2006/relationships/hyperlink" Target="https://maps.google.com/?q=16.38426736432523,-96.836703291811702" TargetMode="External"/><Relationship Id="rId2646" Type="http://schemas.openxmlformats.org/officeDocument/2006/relationships/hyperlink" Target="https://maps.google.com/?q=18.1198554080846,-96.003234354468603" TargetMode="External"/><Relationship Id="rId2853" Type="http://schemas.openxmlformats.org/officeDocument/2006/relationships/hyperlink" Target="https://maps.google.com/?q=17.0087325904845,-97.469404635581895" TargetMode="External"/><Relationship Id="rId94" Type="http://schemas.openxmlformats.org/officeDocument/2006/relationships/hyperlink" Target="https://maps.google.com/?q=17.0114737411432,-96.890180999999998" TargetMode="External"/><Relationship Id="rId520" Type="http://schemas.openxmlformats.org/officeDocument/2006/relationships/hyperlink" Target="https://maps.google.com/?q=17.1328769340386,-97.701977317791005" TargetMode="External"/><Relationship Id="rId618" Type="http://schemas.openxmlformats.org/officeDocument/2006/relationships/hyperlink" Target="https://maps.google.com/?q=17.2753372833195,-98.277501341104497" TargetMode="External"/><Relationship Id="rId825" Type="http://schemas.openxmlformats.org/officeDocument/2006/relationships/hyperlink" Target="https://maps.google.com/?q=16.712438,-94.745350000000002" TargetMode="External"/><Relationship Id="rId1248" Type="http://schemas.openxmlformats.org/officeDocument/2006/relationships/hyperlink" Target="https://maps.google.com/?q=16.78049177,-96.950603029999996" TargetMode="External"/><Relationship Id="rId1455" Type="http://schemas.openxmlformats.org/officeDocument/2006/relationships/hyperlink" Target="https://maps.google.com/?q=16.78889928,-96.894529989999995" TargetMode="External"/><Relationship Id="rId1662" Type="http://schemas.openxmlformats.org/officeDocument/2006/relationships/hyperlink" Target="https://maps.google.com/?q=17.25331824,-97.881344775811399" TargetMode="External"/><Relationship Id="rId2201" Type="http://schemas.openxmlformats.org/officeDocument/2006/relationships/hyperlink" Target="https://maps.google.com/?q=16.866371,-96.785623000000001" TargetMode="External"/><Relationship Id="rId2506" Type="http://schemas.openxmlformats.org/officeDocument/2006/relationships/hyperlink" Target="https://maps.google.com/?q=16.385428870167686,-96.843027799086542" TargetMode="External"/><Relationship Id="rId1010" Type="http://schemas.openxmlformats.org/officeDocument/2006/relationships/hyperlink" Target="https://maps.google.com/?q=17.380138,-96.160842000000002" TargetMode="External"/><Relationship Id="rId1108" Type="http://schemas.openxmlformats.org/officeDocument/2006/relationships/hyperlink" Target="https://maps.google.com/?q=17.381218,-96.161169999999998" TargetMode="External"/><Relationship Id="rId1315" Type="http://schemas.openxmlformats.org/officeDocument/2006/relationships/hyperlink" Target="https://maps.google.com/?q=16.7867968,-96.898217979999998" TargetMode="External"/><Relationship Id="rId1967" Type="http://schemas.openxmlformats.org/officeDocument/2006/relationships/hyperlink" Target="https://maps.google.com/?q=17.207464,-96.801094000000006" TargetMode="External"/><Relationship Id="rId2713" Type="http://schemas.openxmlformats.org/officeDocument/2006/relationships/hyperlink" Target="https://maps.google.com/?q=18.0616300784999,-96.148137847885906" TargetMode="External"/><Relationship Id="rId2920" Type="http://schemas.openxmlformats.org/officeDocument/2006/relationships/hyperlink" Target="https://maps.google.com/?q=17.336843,-98.170153999999997" TargetMode="External"/><Relationship Id="rId1522" Type="http://schemas.openxmlformats.org/officeDocument/2006/relationships/hyperlink" Target="https://maps.google.com/?q=16.78936489,-96.894355820000001" TargetMode="External"/><Relationship Id="rId21" Type="http://schemas.openxmlformats.org/officeDocument/2006/relationships/hyperlink" Target="https://maps.google.com/?q=15.98536362,-95.67527681" TargetMode="External"/><Relationship Id="rId2089" Type="http://schemas.openxmlformats.org/officeDocument/2006/relationships/hyperlink" Target="https://maps.google.com/?q=17.331248,-96.487900999999994" TargetMode="External"/><Relationship Id="rId2296" Type="http://schemas.openxmlformats.org/officeDocument/2006/relationships/hyperlink" Target="https://maps.google.com/?q=17.063778,-96.729971000000006" TargetMode="External"/><Relationship Id="rId268" Type="http://schemas.openxmlformats.org/officeDocument/2006/relationships/hyperlink" Target="https://maps.google.com/?q=17.1230172664998,-96.972775434358596" TargetMode="External"/><Relationship Id="rId475" Type="http://schemas.openxmlformats.org/officeDocument/2006/relationships/hyperlink" Target="https://maps.google.com/?q=17.422741,-97.010740999999996" TargetMode="External"/><Relationship Id="rId682" Type="http://schemas.openxmlformats.org/officeDocument/2006/relationships/hyperlink" Target="https://maps.google.com/?q=17.2571117219787,-98.259155658895494" TargetMode="External"/><Relationship Id="rId2156" Type="http://schemas.openxmlformats.org/officeDocument/2006/relationships/hyperlink" Target="https://maps.google.com/?q=17.724615,-97.323898" TargetMode="External"/><Relationship Id="rId2363" Type="http://schemas.openxmlformats.org/officeDocument/2006/relationships/hyperlink" Target="https://maps.google.com/?q=17.361766,-95.922253999999995" TargetMode="External"/><Relationship Id="rId2570" Type="http://schemas.openxmlformats.org/officeDocument/2006/relationships/hyperlink" Target="https://maps.google.com/?q=16.387493484057615,-96.839492194364638" TargetMode="External"/><Relationship Id="rId3207" Type="http://schemas.openxmlformats.org/officeDocument/2006/relationships/hyperlink" Target="https://maps.google.com/?q=17.207464,-96.801094000000006" TargetMode="External"/><Relationship Id="rId128" Type="http://schemas.openxmlformats.org/officeDocument/2006/relationships/hyperlink" Target="https://maps.google.com/?q=16.7782770742235,-96.583038253703094" TargetMode="External"/><Relationship Id="rId335" Type="http://schemas.openxmlformats.org/officeDocument/2006/relationships/hyperlink" Target="https://maps.google.com/?q=16.5180522225879,-97.781934321104401" TargetMode="External"/><Relationship Id="rId542" Type="http://schemas.openxmlformats.org/officeDocument/2006/relationships/hyperlink" Target="https://maps.google.com/?q=17.175542,-97.727834000000001" TargetMode="External"/><Relationship Id="rId1172" Type="http://schemas.openxmlformats.org/officeDocument/2006/relationships/hyperlink" Target="https://maps.google.com/?q=17.382783,-96.161782000000002" TargetMode="External"/><Relationship Id="rId2016" Type="http://schemas.openxmlformats.org/officeDocument/2006/relationships/hyperlink" Target="https://maps.google.com/?q=16.433347,-95.021687" TargetMode="External"/><Relationship Id="rId2223" Type="http://schemas.openxmlformats.org/officeDocument/2006/relationships/hyperlink" Target="https://maps.google.com/?q=16.279058,-97.820240999999996" TargetMode="External"/><Relationship Id="rId2430" Type="http://schemas.openxmlformats.org/officeDocument/2006/relationships/hyperlink" Target="https://maps.google.com/?q=16.38400078820299,-96.844587408962227" TargetMode="External"/><Relationship Id="rId402" Type="http://schemas.openxmlformats.org/officeDocument/2006/relationships/hyperlink" Target="https://maps.google.com/?q=16.4962231488712,-97.584777081597295" TargetMode="External"/><Relationship Id="rId1032" Type="http://schemas.openxmlformats.org/officeDocument/2006/relationships/hyperlink" Target="https://maps.google.com/?q=17.38039,-96.162469999999999" TargetMode="External"/><Relationship Id="rId1989" Type="http://schemas.openxmlformats.org/officeDocument/2006/relationships/hyperlink" Target="https://maps.google.com/?q=16.564244,-96.731829000000005" TargetMode="External"/><Relationship Id="rId1849" Type="http://schemas.openxmlformats.org/officeDocument/2006/relationships/hyperlink" Target="https://maps.google.com/?q=17.822323,-97.732685000000004" TargetMode="External"/><Relationship Id="rId3064" Type="http://schemas.openxmlformats.org/officeDocument/2006/relationships/hyperlink" Target="https://maps.google.com/?q=16.4291396060749,-95.029635446015305" TargetMode="External"/><Relationship Id="rId192" Type="http://schemas.openxmlformats.org/officeDocument/2006/relationships/hyperlink" Target="https://maps.google.com/?q=16.7835970876758,-96.578133414127805" TargetMode="External"/><Relationship Id="rId1709" Type="http://schemas.openxmlformats.org/officeDocument/2006/relationships/hyperlink" Target="https://maps.google.com/?q=17.34105818,-97.930773239999994" TargetMode="External"/><Relationship Id="rId1916" Type="http://schemas.openxmlformats.org/officeDocument/2006/relationships/hyperlink" Target="https://maps.google.com/?q=17.724615,-97.323898" TargetMode="External"/><Relationship Id="rId3271" Type="http://schemas.openxmlformats.org/officeDocument/2006/relationships/hyperlink" Target="https://maps.google.com/?q=16.386531,-94.323612" TargetMode="External"/><Relationship Id="rId2080" Type="http://schemas.openxmlformats.org/officeDocument/2006/relationships/hyperlink" Target="https://maps.google.com/?q=16.791625,-96.674999" TargetMode="External"/><Relationship Id="rId3131" Type="http://schemas.openxmlformats.org/officeDocument/2006/relationships/hyperlink" Target="https://maps.google.com/?q=16.4395728555427,-95.027498436150196" TargetMode="External"/><Relationship Id="rId2897" Type="http://schemas.openxmlformats.org/officeDocument/2006/relationships/hyperlink" Target="https://maps.google.com/?q=17.3206038979326,-98.2380134145336" TargetMode="External"/><Relationship Id="rId869" Type="http://schemas.openxmlformats.org/officeDocument/2006/relationships/hyperlink" Target="https://maps.google.com/?q=16.714673,-94.748114000000001" TargetMode="External"/><Relationship Id="rId1499" Type="http://schemas.openxmlformats.org/officeDocument/2006/relationships/hyperlink" Target="https://maps.google.com/?q=16.78920317,-96.892041500000005" TargetMode="External"/><Relationship Id="rId729" Type="http://schemas.openxmlformats.org/officeDocument/2006/relationships/hyperlink" Target="https://maps.google.com/?q=16.8894629196208,-95.0345041866332" TargetMode="External"/><Relationship Id="rId1359" Type="http://schemas.openxmlformats.org/officeDocument/2006/relationships/hyperlink" Target="https://maps.google.com/?q=16.78773208,-96.922656160000003" TargetMode="External"/><Relationship Id="rId2757" Type="http://schemas.openxmlformats.org/officeDocument/2006/relationships/hyperlink" Target="https://maps.google.com/?q=18.0823528379483,-96.175223428242106" TargetMode="External"/><Relationship Id="rId2964" Type="http://schemas.openxmlformats.org/officeDocument/2006/relationships/hyperlink" Target="https://maps.google.com/?q=17.431263,-98.290598000000003" TargetMode="External"/><Relationship Id="rId936" Type="http://schemas.openxmlformats.org/officeDocument/2006/relationships/hyperlink" Target="https://maps.google.com/?q=16.6764489541097,-94.775065870787301" TargetMode="External"/><Relationship Id="rId1219" Type="http://schemas.openxmlformats.org/officeDocument/2006/relationships/hyperlink" Target="https://maps.google.com/?q=17.100534728,-96.771628049" TargetMode="External"/><Relationship Id="rId1566" Type="http://schemas.openxmlformats.org/officeDocument/2006/relationships/hyperlink" Target="https://maps.google.com/?q=16.789808417513047,-96.900306581160635" TargetMode="External"/><Relationship Id="rId1773" Type="http://schemas.openxmlformats.org/officeDocument/2006/relationships/hyperlink" Target="https://maps.google.com/?q=15.7729925,-96.141110600000005" TargetMode="External"/><Relationship Id="rId1980" Type="http://schemas.openxmlformats.org/officeDocument/2006/relationships/hyperlink" Target="https://maps.google.com/?q=18.13222,-97.070751000000001" TargetMode="External"/><Relationship Id="rId2617" Type="http://schemas.openxmlformats.org/officeDocument/2006/relationships/hyperlink" Target="https://maps.google.com/?q=18.0991872042545,-96.104428199016496" TargetMode="External"/><Relationship Id="rId2824" Type="http://schemas.openxmlformats.org/officeDocument/2006/relationships/hyperlink" Target="https://maps.google.com/?q=17.0149988031653,-97.501230030561999" TargetMode="External"/><Relationship Id="rId65" Type="http://schemas.openxmlformats.org/officeDocument/2006/relationships/hyperlink" Target="https://maps.google.com/?q=16.9829372287532,-96.891834425934107" TargetMode="External"/><Relationship Id="rId1426" Type="http://schemas.openxmlformats.org/officeDocument/2006/relationships/hyperlink" Target="https://maps.google.com/?q=16.78866485,-96.895471310000005" TargetMode="External"/><Relationship Id="rId1633" Type="http://schemas.openxmlformats.org/officeDocument/2006/relationships/hyperlink" Target="https://maps.google.com/?q=17.24476063,-97.793341170000005" TargetMode="External"/><Relationship Id="rId1840" Type="http://schemas.openxmlformats.org/officeDocument/2006/relationships/hyperlink" Target="https://maps.google.com/?q=17.859708,-96.587789" TargetMode="External"/><Relationship Id="rId1700" Type="http://schemas.openxmlformats.org/officeDocument/2006/relationships/hyperlink" Target="https://maps.google.com/?q=17.3099849949355,-97.943088813665199" TargetMode="External"/><Relationship Id="rId379" Type="http://schemas.openxmlformats.org/officeDocument/2006/relationships/hyperlink" Target="https://maps.google.com/?q=16.4885687250047,-97.580344999999994" TargetMode="External"/><Relationship Id="rId586" Type="http://schemas.openxmlformats.org/officeDocument/2006/relationships/hyperlink" Target="https://maps.google.com/?q=17.266986125367,-98.268140000000002" TargetMode="External"/><Relationship Id="rId793" Type="http://schemas.openxmlformats.org/officeDocument/2006/relationships/hyperlink" Target="https://maps.google.com/?q=16.8927750026893,-95.040540953372997" TargetMode="External"/><Relationship Id="rId2267" Type="http://schemas.openxmlformats.org/officeDocument/2006/relationships/hyperlink" Target="https://maps.google.com/?q=17.207464,-96.801094000000006" TargetMode="External"/><Relationship Id="rId2474" Type="http://schemas.openxmlformats.org/officeDocument/2006/relationships/hyperlink" Target="https://maps.google.com/?q=16.38474067436168,-96.8441936866341" TargetMode="External"/><Relationship Id="rId2681" Type="http://schemas.openxmlformats.org/officeDocument/2006/relationships/hyperlink" Target="https://maps.google.com/?q=18.052473,-96.139623999999998" TargetMode="External"/><Relationship Id="rId239" Type="http://schemas.openxmlformats.org/officeDocument/2006/relationships/hyperlink" Target="https://maps.google.com/?q=17.1067344670231,-96.967634739955898" TargetMode="External"/><Relationship Id="rId446" Type="http://schemas.openxmlformats.org/officeDocument/2006/relationships/hyperlink" Target="https://maps.google.com/?q=17.41812646,-97.011933350000007" TargetMode="External"/><Relationship Id="rId653" Type="http://schemas.openxmlformats.org/officeDocument/2006/relationships/hyperlink" Target="https://maps.google.com/?q=17.22172584,-98.194442960000003" TargetMode="External"/><Relationship Id="rId1076" Type="http://schemas.openxmlformats.org/officeDocument/2006/relationships/hyperlink" Target="https://maps.google.com/?q=17.380897,-96.161719000000005" TargetMode="External"/><Relationship Id="rId1283" Type="http://schemas.openxmlformats.org/officeDocument/2006/relationships/hyperlink" Target="https://maps.google.com/?q=16.7828026,-96.939055890000006" TargetMode="External"/><Relationship Id="rId1490" Type="http://schemas.openxmlformats.org/officeDocument/2006/relationships/hyperlink" Target="https://maps.google.com/?q=16.78916166,-96.909334749999999" TargetMode="External"/><Relationship Id="rId2127" Type="http://schemas.openxmlformats.org/officeDocument/2006/relationships/hyperlink" Target="https://maps.google.com/?q=17.801687,-96.959688" TargetMode="External"/><Relationship Id="rId2334" Type="http://schemas.openxmlformats.org/officeDocument/2006/relationships/hyperlink" Target="https://maps.google.com/?q=17.501442,-98.142583999999999" TargetMode="External"/><Relationship Id="rId306" Type="http://schemas.openxmlformats.org/officeDocument/2006/relationships/hyperlink" Target="https://maps.google.com/?q=16.6170001473134,-97.789646247850399" TargetMode="External"/><Relationship Id="rId860" Type="http://schemas.openxmlformats.org/officeDocument/2006/relationships/hyperlink" Target="https://maps.google.com/?q=16.714284,-94.747077000000004" TargetMode="External"/><Relationship Id="rId1143" Type="http://schemas.openxmlformats.org/officeDocument/2006/relationships/hyperlink" Target="https://maps.google.com/?q=17.381845,-96.160038999999998" TargetMode="External"/><Relationship Id="rId2541" Type="http://schemas.openxmlformats.org/officeDocument/2006/relationships/hyperlink" Target="https://maps.google.com/?q=16.386470474286572,-96.837565596558704" TargetMode="External"/><Relationship Id="rId513" Type="http://schemas.openxmlformats.org/officeDocument/2006/relationships/hyperlink" Target="https://maps.google.com/?q=17.1235400026886,-97.710122682209004" TargetMode="External"/><Relationship Id="rId720" Type="http://schemas.openxmlformats.org/officeDocument/2006/relationships/hyperlink" Target="https://maps.google.com/?q=17.2605434236561,-98.261304315309602" TargetMode="External"/><Relationship Id="rId1350" Type="http://schemas.openxmlformats.org/officeDocument/2006/relationships/hyperlink" Target="https://maps.google.com/?q=16.78753963,-96.895637120000004" TargetMode="External"/><Relationship Id="rId2401" Type="http://schemas.openxmlformats.org/officeDocument/2006/relationships/hyperlink" Target="https://maps.google.com/?q=16.383008179521376,-96.837246989738077" TargetMode="External"/><Relationship Id="rId1003" Type="http://schemas.openxmlformats.org/officeDocument/2006/relationships/hyperlink" Target="https://maps.google.com/?q=17.380036,-96.160129999999995" TargetMode="External"/><Relationship Id="rId1210" Type="http://schemas.openxmlformats.org/officeDocument/2006/relationships/hyperlink" Target="https://maps.google.com/?q=17.10439,%20-96.778130" TargetMode="External"/><Relationship Id="rId3175" Type="http://schemas.openxmlformats.org/officeDocument/2006/relationships/hyperlink" Target="https://maps.google.com/?q=16.4558698942289,-95.015170893410698" TargetMode="External"/><Relationship Id="rId2191" Type="http://schemas.openxmlformats.org/officeDocument/2006/relationships/hyperlink" Target="https://maps.google.com/?q=15.746144,-96.465182999999996" TargetMode="External"/><Relationship Id="rId3035" Type="http://schemas.openxmlformats.org/officeDocument/2006/relationships/hyperlink" Target="https://maps.google.com/?q=16.4262224455345,-95.028543293413605" TargetMode="External"/><Relationship Id="rId3242" Type="http://schemas.openxmlformats.org/officeDocument/2006/relationships/hyperlink" Target="https://maps.google.com/?q=17.361766,-95.922253999999995" TargetMode="External"/><Relationship Id="rId163" Type="http://schemas.openxmlformats.org/officeDocument/2006/relationships/hyperlink" Target="https://maps.google.com/?q=16.7819183228783,-96.582741097943" TargetMode="External"/><Relationship Id="rId370" Type="http://schemas.openxmlformats.org/officeDocument/2006/relationships/hyperlink" Target="https://maps.google.com/?q=16.5006101449649,-97.780934999999999" TargetMode="External"/><Relationship Id="rId2051" Type="http://schemas.openxmlformats.org/officeDocument/2006/relationships/hyperlink" Target="https://maps.google.com/?q=16.866371,-96.785623000000001" TargetMode="External"/><Relationship Id="rId3102" Type="http://schemas.openxmlformats.org/officeDocument/2006/relationships/hyperlink" Target="https://maps.google.com/?q=16.4365663207319,-95.025028246178195" TargetMode="External"/><Relationship Id="rId230" Type="http://schemas.openxmlformats.org/officeDocument/2006/relationships/hyperlink" Target="https://maps.google.com/?q=16.9794179159306,-97.055784023372894" TargetMode="External"/><Relationship Id="rId2868" Type="http://schemas.openxmlformats.org/officeDocument/2006/relationships/hyperlink" Target="https://maps.google.com/?q=17.0623757810839,-97.476544885913796" TargetMode="External"/><Relationship Id="rId1677" Type="http://schemas.openxmlformats.org/officeDocument/2006/relationships/hyperlink" Target="https://maps.google.com/?q=17.25718649,-97.79971601" TargetMode="External"/><Relationship Id="rId1884" Type="http://schemas.openxmlformats.org/officeDocument/2006/relationships/hyperlink" Target="https://maps.google.com/?q=17.501442,-98.142583999999999" TargetMode="External"/><Relationship Id="rId2728" Type="http://schemas.openxmlformats.org/officeDocument/2006/relationships/hyperlink" Target="https://maps.google.com/?q=18.0640188315192,-96.144975865157704" TargetMode="External"/><Relationship Id="rId2935" Type="http://schemas.openxmlformats.org/officeDocument/2006/relationships/hyperlink" Target="https://maps.google.com/?q=17.3377533562348,-98.172393961971196" TargetMode="External"/><Relationship Id="rId907" Type="http://schemas.openxmlformats.org/officeDocument/2006/relationships/hyperlink" Target="https://maps.google.com/?q=16.71640201,-94.74582298" TargetMode="External"/><Relationship Id="rId1537" Type="http://schemas.openxmlformats.org/officeDocument/2006/relationships/hyperlink" Target="https://maps.google.com/?q=16.78954717,-96.906102360000006" TargetMode="External"/><Relationship Id="rId1744" Type="http://schemas.openxmlformats.org/officeDocument/2006/relationships/hyperlink" Target="https://maps.google.com/?q=16.332708,-96.592189000000005" TargetMode="External"/><Relationship Id="rId1951" Type="http://schemas.openxmlformats.org/officeDocument/2006/relationships/hyperlink" Target="https://maps.google.com/?q=15.746144,-96.465182999999996" TargetMode="External"/><Relationship Id="rId36" Type="http://schemas.openxmlformats.org/officeDocument/2006/relationships/hyperlink" Target="https://maps.google.com/?q=15.9887103,-95.674709309999997" TargetMode="External"/><Relationship Id="rId1604" Type="http://schemas.openxmlformats.org/officeDocument/2006/relationships/hyperlink" Target="https://maps.google.com/?q=16.79036831,-96.90510055" TargetMode="External"/><Relationship Id="rId1811" Type="http://schemas.openxmlformats.org/officeDocument/2006/relationships/hyperlink" Target="https://maps.google.com/?q=15.7735889,-96.144115400000004" TargetMode="External"/><Relationship Id="rId697" Type="http://schemas.openxmlformats.org/officeDocument/2006/relationships/hyperlink" Target="https://maps.google.com/?q=17.2589666001267,-98.263043647238703" TargetMode="External"/><Relationship Id="rId2378" Type="http://schemas.openxmlformats.org/officeDocument/2006/relationships/hyperlink" Target="https://maps.google.com/?q=16.380680986023528,-96.846215649358882" TargetMode="External"/><Relationship Id="rId1187" Type="http://schemas.openxmlformats.org/officeDocument/2006/relationships/hyperlink" Target="https://maps.google.com/?q=17.101191,%20-96.772190" TargetMode="External"/><Relationship Id="rId2585" Type="http://schemas.openxmlformats.org/officeDocument/2006/relationships/hyperlink" Target="https://maps.google.com/?q=16.392840992305615,-96.842762442489914" TargetMode="External"/><Relationship Id="rId2792" Type="http://schemas.openxmlformats.org/officeDocument/2006/relationships/hyperlink" Target="https://maps.google.com/?q=18.0960927597755,-96.163313457672103" TargetMode="External"/><Relationship Id="rId557" Type="http://schemas.openxmlformats.org/officeDocument/2006/relationships/hyperlink" Target="https://maps.google.com/?q=16.405197,-95.026438" TargetMode="External"/><Relationship Id="rId764" Type="http://schemas.openxmlformats.org/officeDocument/2006/relationships/hyperlink" Target="https://maps.google.com/?q=16.8196448314405,-95.122453140000005" TargetMode="External"/><Relationship Id="rId971" Type="http://schemas.openxmlformats.org/officeDocument/2006/relationships/hyperlink" Target="https://maps.google.com/?q=17.379296,-96.159407999999999" TargetMode="External"/><Relationship Id="rId1394" Type="http://schemas.openxmlformats.org/officeDocument/2006/relationships/hyperlink" Target="https://maps.google.com/?q=16.78825032,-96.920240340000007" TargetMode="External"/><Relationship Id="rId2238" Type="http://schemas.openxmlformats.org/officeDocument/2006/relationships/hyperlink" Target="https://maps.google.com/?q=17.267449,-97.680485000000004" TargetMode="External"/><Relationship Id="rId2445" Type="http://schemas.openxmlformats.org/officeDocument/2006/relationships/hyperlink" Target="https://maps.google.com/?q=16.38432436062378,-96.840278979999411" TargetMode="External"/><Relationship Id="rId2652" Type="http://schemas.openxmlformats.org/officeDocument/2006/relationships/hyperlink" Target="https://maps.google.com/?q=18.1244302493815,-96.001087563386307" TargetMode="External"/><Relationship Id="rId417" Type="http://schemas.openxmlformats.org/officeDocument/2006/relationships/hyperlink" Target="https://maps.google.com/?q=17.40253658,-96.928436779999998" TargetMode="External"/><Relationship Id="rId624" Type="http://schemas.openxmlformats.org/officeDocument/2006/relationships/hyperlink" Target="https://maps.google.com/?q=17.2759325787157,-98.277454012233804" TargetMode="External"/><Relationship Id="rId831" Type="http://schemas.openxmlformats.org/officeDocument/2006/relationships/hyperlink" Target="https://maps.google.com/?q=16.712747,-94.746532999999999" TargetMode="External"/><Relationship Id="rId1047" Type="http://schemas.openxmlformats.org/officeDocument/2006/relationships/hyperlink" Target="https://maps.google.com/?q=17.380531,-96.162160999999998" TargetMode="External"/><Relationship Id="rId1254" Type="http://schemas.openxmlformats.org/officeDocument/2006/relationships/hyperlink" Target="https://maps.google.com/?q=16.7810516,-96.949926590000004" TargetMode="External"/><Relationship Id="rId1461" Type="http://schemas.openxmlformats.org/officeDocument/2006/relationships/hyperlink" Target="https://maps.google.com/?q=16.78894646,-96.912109119999997" TargetMode="External"/><Relationship Id="rId2305" Type="http://schemas.openxmlformats.org/officeDocument/2006/relationships/hyperlink" Target="https://maps.google.com/?q=17.511838,-97.488547999999994" TargetMode="External"/><Relationship Id="rId2512" Type="http://schemas.openxmlformats.org/officeDocument/2006/relationships/hyperlink" Target="https://maps.google.com/?q=16.385539321928462,-96.838208341197728" TargetMode="External"/><Relationship Id="rId1114" Type="http://schemas.openxmlformats.org/officeDocument/2006/relationships/hyperlink" Target="https://maps.google.com/?q=17.381283,-96.161787000000004" TargetMode="External"/><Relationship Id="rId1321" Type="http://schemas.openxmlformats.org/officeDocument/2006/relationships/hyperlink" Target="https://maps.google.com/?q=16.786882731443246,-96.902620451043461" TargetMode="External"/><Relationship Id="rId3079" Type="http://schemas.openxmlformats.org/officeDocument/2006/relationships/hyperlink" Target="https://maps.google.com/?q=16.4304145390455,-95.014290856482404" TargetMode="External"/><Relationship Id="rId3286" Type="http://schemas.openxmlformats.org/officeDocument/2006/relationships/hyperlink" Target="https://maps.google.com/?q=17.772327,-96.327108" TargetMode="External"/><Relationship Id="rId2095" Type="http://schemas.openxmlformats.org/officeDocument/2006/relationships/hyperlink" Target="https://maps.google.com/?q=17.511838,-97.488547999999994" TargetMode="External"/><Relationship Id="rId3146" Type="http://schemas.openxmlformats.org/officeDocument/2006/relationships/hyperlink" Target="https://maps.google.com/?q=16.4409400371116,-95.011618435719498" TargetMode="External"/><Relationship Id="rId274" Type="http://schemas.openxmlformats.org/officeDocument/2006/relationships/hyperlink" Target="https://maps.google.com/?q=17.0643110027177,-96.964218682208994" TargetMode="External"/><Relationship Id="rId481" Type="http://schemas.openxmlformats.org/officeDocument/2006/relationships/hyperlink" Target="https://maps.google.com/?q=17.42702634,-97.009909309999998" TargetMode="External"/><Relationship Id="rId2162" Type="http://schemas.openxmlformats.org/officeDocument/2006/relationships/hyperlink" Target="https://maps.google.com/?q=16.237076,-97.292351999999994" TargetMode="External"/><Relationship Id="rId3006" Type="http://schemas.openxmlformats.org/officeDocument/2006/relationships/hyperlink" Target="https://maps.google.com/?q=16.4235390759595,-95.015100566852198" TargetMode="External"/><Relationship Id="rId134" Type="http://schemas.openxmlformats.org/officeDocument/2006/relationships/hyperlink" Target="https://maps.google.com/?q=16.7798615313326,-96.583565019462" TargetMode="External"/><Relationship Id="rId3213" Type="http://schemas.openxmlformats.org/officeDocument/2006/relationships/hyperlink" Target="https://maps.google.com/?q=17.458341,-97.225285" TargetMode="External"/><Relationship Id="rId341" Type="http://schemas.openxmlformats.org/officeDocument/2006/relationships/hyperlink" Target="https://maps.google.com/?q=16.5186541450546,-97.779139588955104" TargetMode="External"/><Relationship Id="rId2022" Type="http://schemas.openxmlformats.org/officeDocument/2006/relationships/hyperlink" Target="https://maps.google.com/?q=16.950706,-96.750504000000006" TargetMode="External"/><Relationship Id="rId2979" Type="http://schemas.openxmlformats.org/officeDocument/2006/relationships/hyperlink" Target="https://maps.google.com/?q=17.433177,-98.294611000000003" TargetMode="External"/><Relationship Id="rId201" Type="http://schemas.openxmlformats.org/officeDocument/2006/relationships/hyperlink" Target="https://maps.google.com/?q=16.7841361872883,-96.578320930059505" TargetMode="External"/><Relationship Id="rId1788" Type="http://schemas.openxmlformats.org/officeDocument/2006/relationships/hyperlink" Target="https://maps.google.com/?q=15.7731492,-96.139014299999999" TargetMode="External"/><Relationship Id="rId1995" Type="http://schemas.openxmlformats.org/officeDocument/2006/relationships/hyperlink" Target="https://maps.google.com/?q=17.027131,-96.077044000000001" TargetMode="External"/><Relationship Id="rId2839" Type="http://schemas.openxmlformats.org/officeDocument/2006/relationships/hyperlink" Target="https://maps.google.com/?q=17.0337067204389,-97.510949658895498" TargetMode="External"/><Relationship Id="rId1648" Type="http://schemas.openxmlformats.org/officeDocument/2006/relationships/hyperlink" Target="https://maps.google.com/?q=17.3248185663872,-97.895574563737597" TargetMode="External"/><Relationship Id="rId1508" Type="http://schemas.openxmlformats.org/officeDocument/2006/relationships/hyperlink" Target="https://maps.google.com/?q=16.78926037,-96.908992479999995" TargetMode="External"/><Relationship Id="rId1855" Type="http://schemas.openxmlformats.org/officeDocument/2006/relationships/hyperlink" Target="https://maps.google.com/?q=17.823958,-97.732427000000001" TargetMode="External"/><Relationship Id="rId2906" Type="http://schemas.openxmlformats.org/officeDocument/2006/relationships/hyperlink" Target="https://maps.google.com/?q=17.322633,-98.239839000000003" TargetMode="External"/><Relationship Id="rId3070" Type="http://schemas.openxmlformats.org/officeDocument/2006/relationships/hyperlink" Target="https://maps.google.com/?q=16.4297185279531,-95.030379719885701" TargetMode="External"/><Relationship Id="rId1715" Type="http://schemas.openxmlformats.org/officeDocument/2006/relationships/hyperlink" Target="https://maps.google.com/?q=16.787672,-96.792558" TargetMode="External"/><Relationship Id="rId1922" Type="http://schemas.openxmlformats.org/officeDocument/2006/relationships/hyperlink" Target="https://maps.google.com/?q=16.237076,-97.292351999999994" TargetMode="External"/><Relationship Id="rId2489" Type="http://schemas.openxmlformats.org/officeDocument/2006/relationships/hyperlink" Target="https://maps.google.com/?q=16.385185196405622,-96.839397295681195" TargetMode="External"/><Relationship Id="rId2696" Type="http://schemas.openxmlformats.org/officeDocument/2006/relationships/hyperlink" Target="https://maps.google.com/?q=18.0551422474445,-96.1452546470843" TargetMode="External"/><Relationship Id="rId668" Type="http://schemas.openxmlformats.org/officeDocument/2006/relationships/hyperlink" Target="https://maps.google.com/?q=17.2562865641866,-98.260489000000007" TargetMode="External"/><Relationship Id="rId875" Type="http://schemas.openxmlformats.org/officeDocument/2006/relationships/hyperlink" Target="https://maps.google.com/?q=16.714875,-94.746284000000003" TargetMode="External"/><Relationship Id="rId1298" Type="http://schemas.openxmlformats.org/officeDocument/2006/relationships/hyperlink" Target="https://maps.google.com/?q=16.7861004,-96.897574469999995" TargetMode="External"/><Relationship Id="rId2349" Type="http://schemas.openxmlformats.org/officeDocument/2006/relationships/hyperlink" Target="https://maps.google.com/?q=16.519807,-96.983885000000001" TargetMode="External"/><Relationship Id="rId2556" Type="http://schemas.openxmlformats.org/officeDocument/2006/relationships/hyperlink" Target="https://maps.google.com/?q=16.387064634433536,-96.838785113825764" TargetMode="External"/><Relationship Id="rId2763" Type="http://schemas.openxmlformats.org/officeDocument/2006/relationships/hyperlink" Target="https://maps.google.com/?q=18.083517472349,-96.164259641698905" TargetMode="External"/><Relationship Id="rId2970" Type="http://schemas.openxmlformats.org/officeDocument/2006/relationships/hyperlink" Target="https://maps.google.com/?q=17.4321410138808,-98.294396431877203" TargetMode="External"/><Relationship Id="rId528" Type="http://schemas.openxmlformats.org/officeDocument/2006/relationships/hyperlink" Target="https://maps.google.com/?q=17.1556739098212,-97.716161840267603" TargetMode="External"/><Relationship Id="rId735" Type="http://schemas.openxmlformats.org/officeDocument/2006/relationships/hyperlink" Target="https://maps.google.com/?q=16.8658691459875,-95.053159962492501" TargetMode="External"/><Relationship Id="rId942" Type="http://schemas.openxmlformats.org/officeDocument/2006/relationships/hyperlink" Target="https://maps.google.com/?q=16.678741995249,-94.774378758852805" TargetMode="External"/><Relationship Id="rId1158" Type="http://schemas.openxmlformats.org/officeDocument/2006/relationships/hyperlink" Target="https://maps.google.com/?q=17.382142,-96.166486000000006" TargetMode="External"/><Relationship Id="rId1365" Type="http://schemas.openxmlformats.org/officeDocument/2006/relationships/hyperlink" Target="https://maps.google.com/?q=16.78784605,-96.923252939999998" TargetMode="External"/><Relationship Id="rId1572" Type="http://schemas.openxmlformats.org/officeDocument/2006/relationships/hyperlink" Target="https://maps.google.com/?q=16.789845843898707,-96.899547355443431" TargetMode="External"/><Relationship Id="rId2209" Type="http://schemas.openxmlformats.org/officeDocument/2006/relationships/hyperlink" Target="https://maps.google.com/?q=17.331248,-96.487900999999994" TargetMode="External"/><Relationship Id="rId2416" Type="http://schemas.openxmlformats.org/officeDocument/2006/relationships/hyperlink" Target="https://maps.google.com/?q=16.383565422268035,-96.844486812926817" TargetMode="External"/><Relationship Id="rId2623" Type="http://schemas.openxmlformats.org/officeDocument/2006/relationships/hyperlink" Target="https://maps.google.com/?q=17.9830457183843,-96.099500245589695" TargetMode="External"/><Relationship Id="rId1018" Type="http://schemas.openxmlformats.org/officeDocument/2006/relationships/hyperlink" Target="https://maps.google.com/?q=17.380243,-96.160013000000006" TargetMode="External"/><Relationship Id="rId1225" Type="http://schemas.openxmlformats.org/officeDocument/2006/relationships/hyperlink" Target="https://maps.google.com/?q=17.102481999,-96.773602" TargetMode="External"/><Relationship Id="rId1432" Type="http://schemas.openxmlformats.org/officeDocument/2006/relationships/hyperlink" Target="https://maps.google.com/?q=16.7887112,-96.895290059999994" TargetMode="External"/><Relationship Id="rId2830" Type="http://schemas.openxmlformats.org/officeDocument/2006/relationships/hyperlink" Target="https://maps.google.com/?q=17.0178614379454,-97.501184930059495" TargetMode="External"/><Relationship Id="rId71" Type="http://schemas.openxmlformats.org/officeDocument/2006/relationships/hyperlink" Target="https://maps.google.com/?q=16.9841714386325,-96.892389046627201" TargetMode="External"/><Relationship Id="rId802" Type="http://schemas.openxmlformats.org/officeDocument/2006/relationships/hyperlink" Target="https://maps.google.com/?q=16.8971444889444,-95.037507504299199" TargetMode="External"/><Relationship Id="rId178" Type="http://schemas.openxmlformats.org/officeDocument/2006/relationships/hyperlink" Target="https://maps.google.com/?q=16.7826300518546,-96.583831566477897" TargetMode="External"/><Relationship Id="rId3257" Type="http://schemas.openxmlformats.org/officeDocument/2006/relationships/hyperlink" Target="https://maps.google.com/?q=17.191732,-96.852581" TargetMode="External"/><Relationship Id="rId385" Type="http://schemas.openxmlformats.org/officeDocument/2006/relationships/hyperlink" Target="https://maps.google.com/?q=16.4901855792676,-97.580426495700607" TargetMode="External"/><Relationship Id="rId592" Type="http://schemas.openxmlformats.org/officeDocument/2006/relationships/hyperlink" Target="https://maps.google.com/?q=17.2712830027132,-98.276654341104503" TargetMode="External"/><Relationship Id="rId2066" Type="http://schemas.openxmlformats.org/officeDocument/2006/relationships/hyperlink" Target="https://maps.google.com/?q=17.724615,-97.323898" TargetMode="External"/><Relationship Id="rId2273" Type="http://schemas.openxmlformats.org/officeDocument/2006/relationships/hyperlink" Target="https://maps.google.com/?q=17.458341,-97.225285" TargetMode="External"/><Relationship Id="rId2480" Type="http://schemas.openxmlformats.org/officeDocument/2006/relationships/hyperlink" Target="https://maps.google.com/?q=16.384945835023743,-96.841480074854843" TargetMode="External"/><Relationship Id="rId3117" Type="http://schemas.openxmlformats.org/officeDocument/2006/relationships/hyperlink" Target="https://maps.google.com/?q=16.4384812940507,-95.018173253418595" TargetMode="External"/><Relationship Id="rId245" Type="http://schemas.openxmlformats.org/officeDocument/2006/relationships/hyperlink" Target="https://maps.google.com/?q=16.9821873669456,-97.0204391422089" TargetMode="External"/><Relationship Id="rId452" Type="http://schemas.openxmlformats.org/officeDocument/2006/relationships/hyperlink" Target="https://maps.google.com/?q=17.413141,-96.930856000000006" TargetMode="External"/><Relationship Id="rId1082" Type="http://schemas.openxmlformats.org/officeDocument/2006/relationships/hyperlink" Target="https://maps.google.com/?q=17.380971,-96.161743000000001" TargetMode="External"/><Relationship Id="rId2133" Type="http://schemas.openxmlformats.org/officeDocument/2006/relationships/hyperlink" Target="https://maps.google.com/?q=16.279058,-97.820240999999996" TargetMode="External"/><Relationship Id="rId2340" Type="http://schemas.openxmlformats.org/officeDocument/2006/relationships/hyperlink" Target="https://maps.google.com/?q=18.13222,-97.070751000000001" TargetMode="External"/><Relationship Id="rId105" Type="http://schemas.openxmlformats.org/officeDocument/2006/relationships/hyperlink" Target="https://maps.google.com/?q=16.9714832598717,-96.908887368686194" TargetMode="External"/><Relationship Id="rId312" Type="http://schemas.openxmlformats.org/officeDocument/2006/relationships/hyperlink" Target="https://maps.google.com/?q=16.6182372475158,-97.787574618836103" TargetMode="External"/><Relationship Id="rId2200" Type="http://schemas.openxmlformats.org/officeDocument/2006/relationships/hyperlink" Target="https://maps.google.com/?q=16.791625,-96.674999" TargetMode="External"/><Relationship Id="rId1899" Type="http://schemas.openxmlformats.org/officeDocument/2006/relationships/hyperlink" Target="https://maps.google.com/?q=16.564244,-96.731829000000005" TargetMode="External"/><Relationship Id="rId1759" Type="http://schemas.openxmlformats.org/officeDocument/2006/relationships/hyperlink" Target="https://maps.google.com/?q=17.308805,-96.899518999999998" TargetMode="External"/><Relationship Id="rId1966" Type="http://schemas.openxmlformats.org/officeDocument/2006/relationships/hyperlink" Target="https://maps.google.com/?q=17.063778,-96.729971000000006" TargetMode="External"/><Relationship Id="rId3181" Type="http://schemas.openxmlformats.org/officeDocument/2006/relationships/hyperlink" Target="https://maps.google.com/?q=16.4604495057556,-95.016409472387295" TargetMode="External"/><Relationship Id="rId1619" Type="http://schemas.openxmlformats.org/officeDocument/2006/relationships/hyperlink" Target="https://maps.google.com/?q=17.248691,-97.814063" TargetMode="External"/><Relationship Id="rId1826" Type="http://schemas.openxmlformats.org/officeDocument/2006/relationships/hyperlink" Target="https://maps.google.com/?q=15.7740822,-96.143351300000006" TargetMode="External"/><Relationship Id="rId3041" Type="http://schemas.openxmlformats.org/officeDocument/2006/relationships/hyperlink" Target="https://maps.google.com/?q=16.4265581881812,-95.025117200188106" TargetMode="External"/><Relationship Id="rId779" Type="http://schemas.openxmlformats.org/officeDocument/2006/relationships/hyperlink" Target="https://maps.google.com/?q=16.8238862156814,-95.119945727672103" TargetMode="External"/><Relationship Id="rId986" Type="http://schemas.openxmlformats.org/officeDocument/2006/relationships/hyperlink" Target="https://maps.google.com/?q=17.37979,-96.159723999999997" TargetMode="External"/><Relationship Id="rId2667" Type="http://schemas.openxmlformats.org/officeDocument/2006/relationships/hyperlink" Target="https://maps.google.com/?q=18.051548,-96.141840999999999" TargetMode="External"/><Relationship Id="rId639" Type="http://schemas.openxmlformats.org/officeDocument/2006/relationships/hyperlink" Target="https://maps.google.com/?q=17.2819287221553,-98.280306658895498" TargetMode="External"/><Relationship Id="rId1269" Type="http://schemas.openxmlformats.org/officeDocument/2006/relationships/hyperlink" Target="https://maps.google.com/?q=16.78200587,-96.946767929999993" TargetMode="External"/><Relationship Id="rId1476" Type="http://schemas.openxmlformats.org/officeDocument/2006/relationships/hyperlink" Target="https://maps.google.com/?q=16.78908014,-96.910056789999999" TargetMode="External"/><Relationship Id="rId2874" Type="http://schemas.openxmlformats.org/officeDocument/2006/relationships/hyperlink" Target="https://maps.google.com/?q=17.0639109756378,-97.478190400148407" TargetMode="External"/><Relationship Id="rId846" Type="http://schemas.openxmlformats.org/officeDocument/2006/relationships/hyperlink" Target="https://maps.google.com/?q=16.713416,-94.746181000000007" TargetMode="External"/><Relationship Id="rId1129" Type="http://schemas.openxmlformats.org/officeDocument/2006/relationships/hyperlink" Target="https://maps.google.com/?q=17.381541,-96.161351999999994" TargetMode="External"/><Relationship Id="rId1683" Type="http://schemas.openxmlformats.org/officeDocument/2006/relationships/hyperlink" Target="https://maps.google.com/?q=17.3867345623902,-97.914246317791097" TargetMode="External"/><Relationship Id="rId1890" Type="http://schemas.openxmlformats.org/officeDocument/2006/relationships/hyperlink" Target="https://maps.google.com/?q=18.13222,-97.070751000000001" TargetMode="External"/><Relationship Id="rId2527" Type="http://schemas.openxmlformats.org/officeDocument/2006/relationships/hyperlink" Target="https://maps.google.com/?q=16.38597643336352,-96.837679819463801" TargetMode="External"/><Relationship Id="rId2734" Type="http://schemas.openxmlformats.org/officeDocument/2006/relationships/hyperlink" Target="https://maps.google.com/?q=18.0747252747646,-96.169955883432607" TargetMode="External"/><Relationship Id="rId2941" Type="http://schemas.openxmlformats.org/officeDocument/2006/relationships/hyperlink" Target="https://maps.google.com/?q=17.33811,-98.170343000000003" TargetMode="External"/><Relationship Id="rId706" Type="http://schemas.openxmlformats.org/officeDocument/2006/relationships/hyperlink" Target="https://maps.google.com/?q=17.2596955641398,-98.263754341104502" TargetMode="External"/><Relationship Id="rId913" Type="http://schemas.openxmlformats.org/officeDocument/2006/relationships/hyperlink" Target="https://maps.google.com/?q=16.7171176,-94.744687999999996" TargetMode="External"/><Relationship Id="rId1336" Type="http://schemas.openxmlformats.org/officeDocument/2006/relationships/hyperlink" Target="https://maps.google.com/?q=16.78727665,-96.912641519999994" TargetMode="External"/><Relationship Id="rId1543" Type="http://schemas.openxmlformats.org/officeDocument/2006/relationships/hyperlink" Target="https://maps.google.com/?q=16.78960667,-96.902756980000007" TargetMode="External"/><Relationship Id="rId1750" Type="http://schemas.openxmlformats.org/officeDocument/2006/relationships/hyperlink" Target="https://maps.google.com/?q=17.063791,%20-96.730118" TargetMode="External"/><Relationship Id="rId2801" Type="http://schemas.openxmlformats.org/officeDocument/2006/relationships/hyperlink" Target="https://maps.google.com/?q=18.0976588591736,-96.160811679822601" TargetMode="External"/><Relationship Id="rId42" Type="http://schemas.openxmlformats.org/officeDocument/2006/relationships/hyperlink" Target="https://maps.google.com/?q=16.9774568648082,-96.891423185354199" TargetMode="External"/><Relationship Id="rId1403" Type="http://schemas.openxmlformats.org/officeDocument/2006/relationships/hyperlink" Target="https://maps.google.com/?q=16.78842995,-96.905057569999997" TargetMode="External"/><Relationship Id="rId1610" Type="http://schemas.openxmlformats.org/officeDocument/2006/relationships/hyperlink" Target="https://maps.google.com/?q=16.399635,-94.998116" TargetMode="External"/><Relationship Id="rId289" Type="http://schemas.openxmlformats.org/officeDocument/2006/relationships/hyperlink" Target="https://maps.google.com/?q=16.6136837250035,-97.787881105487898" TargetMode="External"/><Relationship Id="rId496" Type="http://schemas.openxmlformats.org/officeDocument/2006/relationships/hyperlink" Target="https://maps.google.com/?q=17.29861795,-96.906048949999999" TargetMode="External"/><Relationship Id="rId2177" Type="http://schemas.openxmlformats.org/officeDocument/2006/relationships/hyperlink" Target="https://maps.google.com/?q=17.207464,-96.801094000000006" TargetMode="External"/><Relationship Id="rId2384" Type="http://schemas.openxmlformats.org/officeDocument/2006/relationships/hyperlink" Target="https://maps.google.com/?q=16.381350899608865,-96.846721390582516" TargetMode="External"/><Relationship Id="rId2591" Type="http://schemas.openxmlformats.org/officeDocument/2006/relationships/hyperlink" Target="https://maps.google.com/?q=16.394527675760447,-96.844809613864271" TargetMode="External"/><Relationship Id="rId3228" Type="http://schemas.openxmlformats.org/officeDocument/2006/relationships/hyperlink" Target="https://maps.google.com/?q=16.519807,-96.983885000000001" TargetMode="External"/><Relationship Id="rId149" Type="http://schemas.openxmlformats.org/officeDocument/2006/relationships/hyperlink" Target="https://maps.google.com/?q=16.780811771086,-96.581299078604204" TargetMode="External"/><Relationship Id="rId356" Type="http://schemas.openxmlformats.org/officeDocument/2006/relationships/hyperlink" Target="https://maps.google.com/?q=16.499456,-97.783133000000007" TargetMode="External"/><Relationship Id="rId563" Type="http://schemas.openxmlformats.org/officeDocument/2006/relationships/hyperlink" Target="https://maps.google.com/?q=17.1754151588028,-98.195734341104497" TargetMode="External"/><Relationship Id="rId770" Type="http://schemas.openxmlformats.org/officeDocument/2006/relationships/hyperlink" Target="https://maps.google.com/?q=16.8217497357427,-95.122363615259701" TargetMode="External"/><Relationship Id="rId1193" Type="http://schemas.openxmlformats.org/officeDocument/2006/relationships/hyperlink" Target="https://maps.google.com/?q=17.102714,%20-96.773707" TargetMode="External"/><Relationship Id="rId2037" Type="http://schemas.openxmlformats.org/officeDocument/2006/relationships/hyperlink" Target="https://maps.google.com/?q=17.801687,-96.959688" TargetMode="External"/><Relationship Id="rId2244" Type="http://schemas.openxmlformats.org/officeDocument/2006/relationships/hyperlink" Target="https://maps.google.com/?q=17.501442,-98.142583999999999" TargetMode="External"/><Relationship Id="rId2451" Type="http://schemas.openxmlformats.org/officeDocument/2006/relationships/hyperlink" Target="https://maps.google.com/?q=16.384413788504204,-96.843640008121795" TargetMode="External"/><Relationship Id="rId216" Type="http://schemas.openxmlformats.org/officeDocument/2006/relationships/hyperlink" Target="https://maps.google.com/?q=16.7852550128516,-96.580601866711504" TargetMode="External"/><Relationship Id="rId423" Type="http://schemas.openxmlformats.org/officeDocument/2006/relationships/hyperlink" Target="https://maps.google.com/?q=17.405381,-96.930023000000006" TargetMode="External"/><Relationship Id="rId1053" Type="http://schemas.openxmlformats.org/officeDocument/2006/relationships/hyperlink" Target="https://maps.google.com/?q=17.380597,-96.162482999999995" TargetMode="External"/><Relationship Id="rId1260" Type="http://schemas.openxmlformats.org/officeDocument/2006/relationships/hyperlink" Target="https://maps.google.com/?q=16.78129587,-96.948949940000006" TargetMode="External"/><Relationship Id="rId2104" Type="http://schemas.openxmlformats.org/officeDocument/2006/relationships/hyperlink" Target="https://maps.google.com/?q=16.328751,-96.596529000000004" TargetMode="External"/><Relationship Id="rId630" Type="http://schemas.openxmlformats.org/officeDocument/2006/relationships/hyperlink" Target="https://maps.google.com/?q=17.2782345537905,-98.280283831781006" TargetMode="External"/><Relationship Id="rId2311" Type="http://schemas.openxmlformats.org/officeDocument/2006/relationships/hyperlink" Target="https://maps.google.com/?q=15.746144,-96.465182999999996" TargetMode="External"/><Relationship Id="rId1120" Type="http://schemas.openxmlformats.org/officeDocument/2006/relationships/hyperlink" Target="https://maps.google.com/?q=17.381414,-96.161412999999996" TargetMode="External"/><Relationship Id="rId1937" Type="http://schemas.openxmlformats.org/officeDocument/2006/relationships/hyperlink" Target="https://maps.google.com/?q=17.207464,-96.801094000000006" TargetMode="External"/><Relationship Id="rId3085" Type="http://schemas.openxmlformats.org/officeDocument/2006/relationships/hyperlink" Target="https://maps.google.com/?q=16.4317104085064,-95.004644772366902" TargetMode="External"/><Relationship Id="rId3292" Type="http://schemas.openxmlformats.org/officeDocument/2006/relationships/hyperlink" Target="https://maps.google.com/?q=16.280083,-94.470613" TargetMode="External"/><Relationship Id="rId3152" Type="http://schemas.openxmlformats.org/officeDocument/2006/relationships/hyperlink" Target="https://maps.google.com/?q=16.4434671,-95.033124939999993" TargetMode="External"/><Relationship Id="rId280" Type="http://schemas.openxmlformats.org/officeDocument/2006/relationships/hyperlink" Target="https://maps.google.com/?q=17.0670310027182,-96.967713341104499" TargetMode="External"/><Relationship Id="rId3012" Type="http://schemas.openxmlformats.org/officeDocument/2006/relationships/hyperlink" Target="https://maps.google.com/?q=16.4243293719619,-95.029081549185605" TargetMode="External"/><Relationship Id="rId140" Type="http://schemas.openxmlformats.org/officeDocument/2006/relationships/hyperlink" Target="https://maps.google.com/?q=16.780290790693,-96.583727588955" TargetMode="External"/><Relationship Id="rId6" Type="http://schemas.openxmlformats.org/officeDocument/2006/relationships/hyperlink" Target="https://maps.google.com/?q=17.0784475941075,-96.71122686043876" TargetMode="External"/><Relationship Id="rId2778" Type="http://schemas.openxmlformats.org/officeDocument/2006/relationships/hyperlink" Target="https://maps.google.com/?q=18.0850657163283,-96.168947472387302" TargetMode="External"/><Relationship Id="rId2985" Type="http://schemas.openxmlformats.org/officeDocument/2006/relationships/hyperlink" Target="https://maps.google.com/?q=16.4148508280339,-95.025572846859603" TargetMode="External"/><Relationship Id="rId957" Type="http://schemas.openxmlformats.org/officeDocument/2006/relationships/hyperlink" Target="https://maps.google.com/?q=16.714896,-94.751047" TargetMode="External"/><Relationship Id="rId1587" Type="http://schemas.openxmlformats.org/officeDocument/2006/relationships/hyperlink" Target="https://maps.google.com/?q=16.79003123,-96.897861079999998" TargetMode="External"/><Relationship Id="rId1794" Type="http://schemas.openxmlformats.org/officeDocument/2006/relationships/hyperlink" Target="https://maps.google.com/?q=15.7732076,-96.138314199999996" TargetMode="External"/><Relationship Id="rId2638" Type="http://schemas.openxmlformats.org/officeDocument/2006/relationships/hyperlink" Target="https://maps.google.com/?q=17.9870637791703,-96.099016705026401" TargetMode="External"/><Relationship Id="rId2845" Type="http://schemas.openxmlformats.org/officeDocument/2006/relationships/hyperlink" Target="https://maps.google.com/?q=17.0364146027131,-97.508524641104401" TargetMode="External"/><Relationship Id="rId86" Type="http://schemas.openxmlformats.org/officeDocument/2006/relationships/hyperlink" Target="https://maps.google.com/?q=17.0079957611859,-96.890107407157899" TargetMode="External"/><Relationship Id="rId817" Type="http://schemas.openxmlformats.org/officeDocument/2006/relationships/hyperlink" Target="https://maps.google.com/?q=16.711665,-94.745328999999998" TargetMode="External"/><Relationship Id="rId1447" Type="http://schemas.openxmlformats.org/officeDocument/2006/relationships/hyperlink" Target="https://maps.google.com/?q=16.78881611,-96.916751480000002" TargetMode="External"/><Relationship Id="rId1654" Type="http://schemas.openxmlformats.org/officeDocument/2006/relationships/hyperlink" Target="https://maps.google.com/?q=17.335314,-97.871195999999998" TargetMode="External"/><Relationship Id="rId1861" Type="http://schemas.openxmlformats.org/officeDocument/2006/relationships/hyperlink" Target="https://maps.google.com/?q=15.746144,-96.465182999999996" TargetMode="External"/><Relationship Id="rId2705" Type="http://schemas.openxmlformats.org/officeDocument/2006/relationships/hyperlink" Target="https://maps.google.com/?q=18.0604376771967,-96.144441093254201" TargetMode="External"/><Relationship Id="rId2912" Type="http://schemas.openxmlformats.org/officeDocument/2006/relationships/hyperlink" Target="https://maps.google.com/?q=17.324515,-98.238444000000001" TargetMode="External"/><Relationship Id="rId1307" Type="http://schemas.openxmlformats.org/officeDocument/2006/relationships/hyperlink" Target="https://maps.google.com/?q=16.78662361,-96.908690669999999" TargetMode="External"/><Relationship Id="rId1514" Type="http://schemas.openxmlformats.org/officeDocument/2006/relationships/hyperlink" Target="https://maps.google.com/?q=16.78930417,-96.920985889999997" TargetMode="External"/><Relationship Id="rId1721" Type="http://schemas.openxmlformats.org/officeDocument/2006/relationships/hyperlink" Target="https://maps.google.com/?q=16.788212,-96.791490999999994" TargetMode="External"/><Relationship Id="rId13" Type="http://schemas.openxmlformats.org/officeDocument/2006/relationships/hyperlink" Target="https://maps.google.com/?q=15.97977655,-95.674330699999999" TargetMode="External"/><Relationship Id="rId2288" Type="http://schemas.openxmlformats.org/officeDocument/2006/relationships/hyperlink" Target="https://maps.google.com/?q=16.519807,-96.983885000000001" TargetMode="External"/><Relationship Id="rId2495" Type="http://schemas.openxmlformats.org/officeDocument/2006/relationships/hyperlink" Target="https://maps.google.com/?q=16.385300991864764,-96.841268391896278" TargetMode="External"/><Relationship Id="rId467" Type="http://schemas.openxmlformats.org/officeDocument/2006/relationships/hyperlink" Target="https://maps.google.com/?q=17.42184316,-96.931005639999995" TargetMode="External"/><Relationship Id="rId1097" Type="http://schemas.openxmlformats.org/officeDocument/2006/relationships/hyperlink" Target="https://maps.google.com/?q=17.381071,-96.160633000000004" TargetMode="External"/><Relationship Id="rId2148" Type="http://schemas.openxmlformats.org/officeDocument/2006/relationships/hyperlink" Target="https://maps.google.com/?q=17.267449,-97.680485000000004" TargetMode="External"/><Relationship Id="rId674" Type="http://schemas.openxmlformats.org/officeDocument/2006/relationships/hyperlink" Target="https://maps.google.com/?q=17.2567978251426,-98.2596405236972" TargetMode="External"/><Relationship Id="rId881" Type="http://schemas.openxmlformats.org/officeDocument/2006/relationships/hyperlink" Target="https://maps.google.com/?q=16.71515,-94.746046000000007" TargetMode="External"/><Relationship Id="rId2355" Type="http://schemas.openxmlformats.org/officeDocument/2006/relationships/hyperlink" Target="https://maps.google.com/?q=17.026216,-97.928115000000005" TargetMode="External"/><Relationship Id="rId2562" Type="http://schemas.openxmlformats.org/officeDocument/2006/relationships/hyperlink" Target="https://maps.google.com/?q=16.387249449591156,-96.839247784941634" TargetMode="External"/><Relationship Id="rId327" Type="http://schemas.openxmlformats.org/officeDocument/2006/relationships/hyperlink" Target="https://maps.google.com/?q=16.516203857576,-97.780705192625106" TargetMode="External"/><Relationship Id="rId534" Type="http://schemas.openxmlformats.org/officeDocument/2006/relationships/hyperlink" Target="https://maps.google.com/?q=17.1480115580738,-97.705753906745898" TargetMode="External"/><Relationship Id="rId741" Type="http://schemas.openxmlformats.org/officeDocument/2006/relationships/hyperlink" Target="https://maps.google.com/?q=16.8810213782045,-95.028053254834404" TargetMode="External"/><Relationship Id="rId1164" Type="http://schemas.openxmlformats.org/officeDocument/2006/relationships/hyperlink" Target="https://maps.google.com/?q=17.382366,-96.162907000000004" TargetMode="External"/><Relationship Id="rId1371" Type="http://schemas.openxmlformats.org/officeDocument/2006/relationships/hyperlink" Target="https://maps.google.com/?q=16.7879244,-96.922292249999998" TargetMode="External"/><Relationship Id="rId2008" Type="http://schemas.openxmlformats.org/officeDocument/2006/relationships/hyperlink" Target="https://maps.google.com/?q=17.806621,-97.776161999999999" TargetMode="External"/><Relationship Id="rId2215" Type="http://schemas.openxmlformats.org/officeDocument/2006/relationships/hyperlink" Target="https://maps.google.com/?q=17.511838,-97.488547999999994" TargetMode="External"/><Relationship Id="rId2422" Type="http://schemas.openxmlformats.org/officeDocument/2006/relationships/hyperlink" Target="https://maps.google.com/?q=16.383808821536732,-96.842896746258873" TargetMode="External"/><Relationship Id="rId601" Type="http://schemas.openxmlformats.org/officeDocument/2006/relationships/hyperlink" Target="https://maps.google.com/?q=17.2719265639719,-98.275115999999997" TargetMode="External"/><Relationship Id="rId1024" Type="http://schemas.openxmlformats.org/officeDocument/2006/relationships/hyperlink" Target="https://maps.google.com/?q=17.380304,-96.160231999999993" TargetMode="External"/><Relationship Id="rId1231" Type="http://schemas.openxmlformats.org/officeDocument/2006/relationships/hyperlink" Target="https://maps.google.com/?q=17.103556961,-96.774593478" TargetMode="External"/><Relationship Id="rId3196" Type="http://schemas.openxmlformats.org/officeDocument/2006/relationships/hyperlink" Target="https://maps.google.com/?q=16.433347,-95.021687" TargetMode="External"/><Relationship Id="rId3056" Type="http://schemas.openxmlformats.org/officeDocument/2006/relationships/hyperlink" Target="https://maps.google.com/?q=16.4281925200178,-95.021561311924401" TargetMode="External"/><Relationship Id="rId3263" Type="http://schemas.openxmlformats.org/officeDocument/2006/relationships/hyperlink" Target="https://maps.google.com/?q=15.82659,-96.294466" TargetMode="External"/><Relationship Id="rId184" Type="http://schemas.openxmlformats.org/officeDocument/2006/relationships/hyperlink" Target="https://maps.google.com/?q=16.7831523375331,-96.581801061342304" TargetMode="External"/><Relationship Id="rId391" Type="http://schemas.openxmlformats.org/officeDocument/2006/relationships/hyperlink" Target="https://maps.google.com/?q=16.4913964329104,-97.580849412149604" TargetMode="External"/><Relationship Id="rId1908" Type="http://schemas.openxmlformats.org/officeDocument/2006/relationships/hyperlink" Target="https://maps.google.com/?q=17.267449,-97.680485000000004" TargetMode="External"/><Relationship Id="rId2072" Type="http://schemas.openxmlformats.org/officeDocument/2006/relationships/hyperlink" Target="https://maps.google.com/?q=16.237076,-97.292351999999994" TargetMode="External"/><Relationship Id="rId3123" Type="http://schemas.openxmlformats.org/officeDocument/2006/relationships/hyperlink" Target="https://maps.google.com/?q=16.4391957061395,-95.0284107700909" TargetMode="External"/><Relationship Id="rId251" Type="http://schemas.openxmlformats.org/officeDocument/2006/relationships/hyperlink" Target="https://maps.google.com/?q=16.9841556549661,-97.018227728835996" TargetMode="External"/><Relationship Id="rId2889" Type="http://schemas.openxmlformats.org/officeDocument/2006/relationships/hyperlink" Target="https://maps.google.com/?q=17.319992,-98.241552999999996" TargetMode="External"/><Relationship Id="rId111" Type="http://schemas.openxmlformats.org/officeDocument/2006/relationships/hyperlink" Target="https://maps.google.com/?q=16.9740810451184,-96.910725504299094" TargetMode="External"/><Relationship Id="rId1698" Type="http://schemas.openxmlformats.org/officeDocument/2006/relationships/hyperlink" Target="https://maps.google.com/?q=17.287285,-97.868801000000005" TargetMode="External"/><Relationship Id="rId2749" Type="http://schemas.openxmlformats.org/officeDocument/2006/relationships/hyperlink" Target="https://maps.google.com/?q=18.0800302348158,-96.168271924079093" TargetMode="External"/><Relationship Id="rId2956" Type="http://schemas.openxmlformats.org/officeDocument/2006/relationships/hyperlink" Target="https://maps.google.com/?q=17.429571,-98.295749000000001" TargetMode="External"/><Relationship Id="rId928" Type="http://schemas.openxmlformats.org/officeDocument/2006/relationships/hyperlink" Target="https://maps.google.com/?q=16.6747516660656,-94.775485195683402" TargetMode="External"/><Relationship Id="rId1558" Type="http://schemas.openxmlformats.org/officeDocument/2006/relationships/hyperlink" Target="https://maps.google.com/?q=16.78976831,-96.897625529999999" TargetMode="External"/><Relationship Id="rId1765" Type="http://schemas.openxmlformats.org/officeDocument/2006/relationships/hyperlink" Target="https://maps.google.com/?q=17.310538,-96.912374999999997" TargetMode="External"/><Relationship Id="rId2609" Type="http://schemas.openxmlformats.org/officeDocument/2006/relationships/hyperlink" Target="https://maps.google.com/?q=16.61593,-98.149376" TargetMode="External"/><Relationship Id="rId57" Type="http://schemas.openxmlformats.org/officeDocument/2006/relationships/hyperlink" Target="https://maps.google.com/?q=16.9801169796875,-96.891234836805396" TargetMode="External"/><Relationship Id="rId1418" Type="http://schemas.openxmlformats.org/officeDocument/2006/relationships/hyperlink" Target="https://maps.google.com/?q=16.7885982,-96.914885600000005" TargetMode="External"/><Relationship Id="rId1972" Type="http://schemas.openxmlformats.org/officeDocument/2006/relationships/hyperlink" Target="https://maps.google.com/?q=17.361766,-95.922253999999995" TargetMode="External"/><Relationship Id="rId2816" Type="http://schemas.openxmlformats.org/officeDocument/2006/relationships/hyperlink" Target="https://maps.google.com/?q=17.013952590664,-97.500661271163906" TargetMode="External"/><Relationship Id="rId1625" Type="http://schemas.openxmlformats.org/officeDocument/2006/relationships/hyperlink" Target="https://maps.google.com/?q=17.256897,-97.807806" TargetMode="External"/><Relationship Id="rId1832" Type="http://schemas.openxmlformats.org/officeDocument/2006/relationships/hyperlink" Target="https://maps.google.com/?q=17.330676,-96.772020" TargetMode="External"/><Relationship Id="rId2399" Type="http://schemas.openxmlformats.org/officeDocument/2006/relationships/hyperlink" Target="https://maps.google.com/?q=16.382938123250838,-96.836834865355485" TargetMode="External"/><Relationship Id="rId578" Type="http://schemas.openxmlformats.org/officeDocument/2006/relationships/hyperlink" Target="https://maps.google.com/?q=17.1800717709968,-98.1972345163597" TargetMode="External"/><Relationship Id="rId785" Type="http://schemas.openxmlformats.org/officeDocument/2006/relationships/hyperlink" Target="https://maps.google.com/?q=16.885034,-95.019825999999995" TargetMode="External"/><Relationship Id="rId992" Type="http://schemas.openxmlformats.org/officeDocument/2006/relationships/hyperlink" Target="https://maps.google.com/?q=17.379941,-96.161097999999996" TargetMode="External"/><Relationship Id="rId2259" Type="http://schemas.openxmlformats.org/officeDocument/2006/relationships/hyperlink" Target="https://maps.google.com/?q=16.564244,-96.731829000000005" TargetMode="External"/><Relationship Id="rId2466" Type="http://schemas.openxmlformats.org/officeDocument/2006/relationships/hyperlink" Target="https://maps.google.com/?q=16.384609799297184,-96.842686299326203" TargetMode="External"/><Relationship Id="rId2673" Type="http://schemas.openxmlformats.org/officeDocument/2006/relationships/hyperlink" Target="https://maps.google.com/?q=18.0520816014223,-96.140529804893603" TargetMode="External"/><Relationship Id="rId2880" Type="http://schemas.openxmlformats.org/officeDocument/2006/relationships/hyperlink" Target="https://maps.google.com/?q=17.0051907202389,-97.511827658895598" TargetMode="External"/><Relationship Id="rId438" Type="http://schemas.openxmlformats.org/officeDocument/2006/relationships/hyperlink" Target="https://maps.google.com/?q=17.40984998,-97.013261" TargetMode="External"/><Relationship Id="rId645" Type="http://schemas.openxmlformats.org/officeDocument/2006/relationships/hyperlink" Target="https://maps.google.com/?q=17.21944425,-98.19142325" TargetMode="External"/><Relationship Id="rId852" Type="http://schemas.openxmlformats.org/officeDocument/2006/relationships/hyperlink" Target="https://maps.google.com/?q=16.7138,-94.747501" TargetMode="External"/><Relationship Id="rId1068" Type="http://schemas.openxmlformats.org/officeDocument/2006/relationships/hyperlink" Target="https://maps.google.com/?q=17.38077,-96.161225999999999" TargetMode="External"/><Relationship Id="rId1275" Type="http://schemas.openxmlformats.org/officeDocument/2006/relationships/hyperlink" Target="https://maps.google.com/?q=16.78215687,-96.947566940000002" TargetMode="External"/><Relationship Id="rId1482" Type="http://schemas.openxmlformats.org/officeDocument/2006/relationships/hyperlink" Target="https://maps.google.com/?q=16.78912314,-96.904384219999997" TargetMode="External"/><Relationship Id="rId2119" Type="http://schemas.openxmlformats.org/officeDocument/2006/relationships/hyperlink" Target="https://maps.google.com/?q=17.331248,-96.487900999999994" TargetMode="External"/><Relationship Id="rId2326" Type="http://schemas.openxmlformats.org/officeDocument/2006/relationships/hyperlink" Target="https://maps.google.com/?q=17.063778,-96.729971000000006" TargetMode="External"/><Relationship Id="rId2533" Type="http://schemas.openxmlformats.org/officeDocument/2006/relationships/hyperlink" Target="https://maps.google.com/?q=16.386198280944086,-96.835841821789529" TargetMode="External"/><Relationship Id="rId2740" Type="http://schemas.openxmlformats.org/officeDocument/2006/relationships/hyperlink" Target="https://maps.google.com/?q=18.0755385119174,-96.170166250114903" TargetMode="External"/><Relationship Id="rId505" Type="http://schemas.openxmlformats.org/officeDocument/2006/relationships/hyperlink" Target="https://maps.google.com/?q=17.326526,-96.942733000000004" TargetMode="External"/><Relationship Id="rId712" Type="http://schemas.openxmlformats.org/officeDocument/2006/relationships/hyperlink" Target="https://maps.google.com/?q=17.2600775641346,-98.261623" TargetMode="External"/><Relationship Id="rId1135" Type="http://schemas.openxmlformats.org/officeDocument/2006/relationships/hyperlink" Target="https://maps.google.com/?q=17.381661,-96.164327" TargetMode="External"/><Relationship Id="rId1342" Type="http://schemas.openxmlformats.org/officeDocument/2006/relationships/hyperlink" Target="https://maps.google.com/?q=16.78735854,-96.898687480000007" TargetMode="External"/><Relationship Id="rId1202" Type="http://schemas.openxmlformats.org/officeDocument/2006/relationships/hyperlink" Target="https://maps.google.com/?q=17.103807,%20-96.775940" TargetMode="External"/><Relationship Id="rId2600" Type="http://schemas.openxmlformats.org/officeDocument/2006/relationships/hyperlink" Target="https://maps.google.com/?q=16.395415661056106,-96.8419817639587" TargetMode="External"/><Relationship Id="rId3167" Type="http://schemas.openxmlformats.org/officeDocument/2006/relationships/hyperlink" Target="https://maps.google.com/?q=16.4494818841527,-95.019318169487406" TargetMode="External"/><Relationship Id="rId295" Type="http://schemas.openxmlformats.org/officeDocument/2006/relationships/hyperlink" Target="https://maps.google.com/?q=16.6154450240766,-97.787684814472499" TargetMode="External"/><Relationship Id="rId2183" Type="http://schemas.openxmlformats.org/officeDocument/2006/relationships/hyperlink" Target="https://maps.google.com/?q=17.458341,-97.225285" TargetMode="External"/><Relationship Id="rId2390" Type="http://schemas.openxmlformats.org/officeDocument/2006/relationships/hyperlink" Target="https://maps.google.com/?q=16.382407629832112,-96.844039085764933" TargetMode="External"/><Relationship Id="rId3027" Type="http://schemas.openxmlformats.org/officeDocument/2006/relationships/hyperlink" Target="https://maps.google.com/?q=16.4257397435549,-95.015719813054304" TargetMode="External"/><Relationship Id="rId3234" Type="http://schemas.openxmlformats.org/officeDocument/2006/relationships/hyperlink" Target="https://maps.google.com/?q=17.026216,-97.928115000000005" TargetMode="External"/><Relationship Id="rId155" Type="http://schemas.openxmlformats.org/officeDocument/2006/relationships/hyperlink" Target="https://maps.google.com/?q=16.7809830267153,-96.583823798776706" TargetMode="External"/><Relationship Id="rId362" Type="http://schemas.openxmlformats.org/officeDocument/2006/relationships/hyperlink" Target="https://maps.google.com/?q=16.5002360715488,-97.781131434358599" TargetMode="External"/><Relationship Id="rId2043" Type="http://schemas.openxmlformats.org/officeDocument/2006/relationships/hyperlink" Target="https://maps.google.com/?q=16.279058,-97.820240999999996" TargetMode="External"/><Relationship Id="rId2250" Type="http://schemas.openxmlformats.org/officeDocument/2006/relationships/hyperlink" Target="https://maps.google.com/?q=18.13222,-97.070751000000001" TargetMode="External"/><Relationship Id="rId222" Type="http://schemas.openxmlformats.org/officeDocument/2006/relationships/hyperlink" Target="https://maps.google.com/?q=16.977616472244,-97.056509358291507" TargetMode="External"/><Relationship Id="rId2110" Type="http://schemas.openxmlformats.org/officeDocument/2006/relationships/hyperlink" Target="https://maps.google.com/?q=16.791625,-96.674999" TargetMode="External"/><Relationship Id="rId1669" Type="http://schemas.openxmlformats.org/officeDocument/2006/relationships/hyperlink" Target="https://maps.google.com/?q=17.25893414,-97.888135974205099" TargetMode="External"/><Relationship Id="rId1876" Type="http://schemas.openxmlformats.org/officeDocument/2006/relationships/hyperlink" Target="https://maps.google.com/?q=17.063778,-96.729971000000006" TargetMode="External"/><Relationship Id="rId2927" Type="http://schemas.openxmlformats.org/officeDocument/2006/relationships/hyperlink" Target="https://maps.google.com/?q=17.3370979290485,-98.1701674500393" TargetMode="External"/><Relationship Id="rId3091" Type="http://schemas.openxmlformats.org/officeDocument/2006/relationships/hyperlink" Target="https://maps.google.com/?q=16.4330159082118,-95.034696701187102" TargetMode="External"/><Relationship Id="rId1529" Type="http://schemas.openxmlformats.org/officeDocument/2006/relationships/hyperlink" Target="https://maps.google.com/?q=16.78947414,-96.896192749999997" TargetMode="External"/><Relationship Id="rId1736" Type="http://schemas.openxmlformats.org/officeDocument/2006/relationships/hyperlink" Target="https://maps.google.com/?q=16.327762425966696,-96.58639881349183" TargetMode="External"/><Relationship Id="rId1943" Type="http://schemas.openxmlformats.org/officeDocument/2006/relationships/hyperlink" Target="https://maps.google.com/?q=17.458341,-97.225285" TargetMode="External"/><Relationship Id="rId28" Type="http://schemas.openxmlformats.org/officeDocument/2006/relationships/hyperlink" Target="https://maps.google.com/?q=15.98760561,-95.672219089999999" TargetMode="External"/><Relationship Id="rId1803" Type="http://schemas.openxmlformats.org/officeDocument/2006/relationships/hyperlink" Target="https://maps.google.com/?q=15.7732963,-96.144470100000007" TargetMode="External"/><Relationship Id="rId689" Type="http://schemas.openxmlformats.org/officeDocument/2006/relationships/hyperlink" Target="https://maps.google.com/?q=17.2581848448853,-98.256655046627003" TargetMode="External"/><Relationship Id="rId896" Type="http://schemas.openxmlformats.org/officeDocument/2006/relationships/hyperlink" Target="https://maps.google.com/?q=16.715656,-94.745795999999999" TargetMode="External"/><Relationship Id="rId2577" Type="http://schemas.openxmlformats.org/officeDocument/2006/relationships/hyperlink" Target="https://maps.google.com/?q=16.38803736413032,-96.837328822746088" TargetMode="External"/><Relationship Id="rId2784" Type="http://schemas.openxmlformats.org/officeDocument/2006/relationships/hyperlink" Target="https://maps.google.com/?q=18.0871853025551,-96.165795652658403" TargetMode="External"/><Relationship Id="rId549" Type="http://schemas.openxmlformats.org/officeDocument/2006/relationships/hyperlink" Target="https://maps.google.com/?q=17.06393362202123,-96.83010138712035" TargetMode="External"/><Relationship Id="rId756" Type="http://schemas.openxmlformats.org/officeDocument/2006/relationships/hyperlink" Target="https://maps.google.com/?q=16.8179678476133,-95.119373068895499" TargetMode="External"/><Relationship Id="rId1179" Type="http://schemas.openxmlformats.org/officeDocument/2006/relationships/hyperlink" Target="https://maps.google.com/?q=17.383863,-96.162488999999994" TargetMode="External"/><Relationship Id="rId1386" Type="http://schemas.openxmlformats.org/officeDocument/2006/relationships/hyperlink" Target="https://maps.google.com/?q=16.78810766,-96.914692439999996" TargetMode="External"/><Relationship Id="rId1593" Type="http://schemas.openxmlformats.org/officeDocument/2006/relationships/hyperlink" Target="https://maps.google.com/?q=16.79015138,-96.904215359999995" TargetMode="External"/><Relationship Id="rId2437" Type="http://schemas.openxmlformats.org/officeDocument/2006/relationships/hyperlink" Target="https://maps.google.com/?q=16.384234816775553,-96.84210781884498" TargetMode="External"/><Relationship Id="rId2991" Type="http://schemas.openxmlformats.org/officeDocument/2006/relationships/hyperlink" Target="https://maps.google.com/?q=16.419695122053,-95.0277413730647" TargetMode="External"/><Relationship Id="rId409" Type="http://schemas.openxmlformats.org/officeDocument/2006/relationships/hyperlink" Target="https://maps.google.com/?q=17.40110185,-96.927771629999995" TargetMode="External"/><Relationship Id="rId963" Type="http://schemas.openxmlformats.org/officeDocument/2006/relationships/hyperlink" Target="https://maps.google.com/?q=17.378805,-96.160418000000007" TargetMode="External"/><Relationship Id="rId1039" Type="http://schemas.openxmlformats.org/officeDocument/2006/relationships/hyperlink" Target="https://maps.google.com/?q=17.380453,-96.161738" TargetMode="External"/><Relationship Id="rId1246" Type="http://schemas.openxmlformats.org/officeDocument/2006/relationships/hyperlink" Target="https://maps.google.com/?q=16.78015128,-96.951110959999994" TargetMode="External"/><Relationship Id="rId2644" Type="http://schemas.openxmlformats.org/officeDocument/2006/relationships/hyperlink" Target="https://maps.google.com/?q=18.1173077551064,-95.997645107034003" TargetMode="External"/><Relationship Id="rId2851" Type="http://schemas.openxmlformats.org/officeDocument/2006/relationships/hyperlink" Target="https://maps.google.com/?q=17.0399704382521,-97.510092728836099" TargetMode="External"/><Relationship Id="rId92" Type="http://schemas.openxmlformats.org/officeDocument/2006/relationships/hyperlink" Target="https://maps.google.com/?q=17.0108390505372,-96.890320738934093" TargetMode="External"/><Relationship Id="rId616" Type="http://schemas.openxmlformats.org/officeDocument/2006/relationships/hyperlink" Target="https://maps.google.com/?q=17.2749721251463,-98.277687364418" TargetMode="External"/><Relationship Id="rId823" Type="http://schemas.openxmlformats.org/officeDocument/2006/relationships/hyperlink" Target="https://maps.google.com/?q=16.712421,-94.749053000000004" TargetMode="External"/><Relationship Id="rId1453" Type="http://schemas.openxmlformats.org/officeDocument/2006/relationships/hyperlink" Target="https://maps.google.com/?q=16.78888075,-96.911507929999999" TargetMode="External"/><Relationship Id="rId1660" Type="http://schemas.openxmlformats.org/officeDocument/2006/relationships/hyperlink" Target="https://maps.google.com/?q=17.339055,-97.874386999999999" TargetMode="External"/><Relationship Id="rId2504" Type="http://schemas.openxmlformats.org/officeDocument/2006/relationships/hyperlink" Target="https://maps.google.com/?q=16.38540543154024,-96.840848516860106" TargetMode="External"/><Relationship Id="rId2711" Type="http://schemas.openxmlformats.org/officeDocument/2006/relationships/hyperlink" Target="https://maps.google.com/?q=18.0612022198823,-96.144515333714907" TargetMode="External"/><Relationship Id="rId1106" Type="http://schemas.openxmlformats.org/officeDocument/2006/relationships/hyperlink" Target="https://maps.google.com/?q=17.38117,-96.163477999999998" TargetMode="External"/><Relationship Id="rId1313" Type="http://schemas.openxmlformats.org/officeDocument/2006/relationships/hyperlink" Target="https://maps.google.com/?q=16.78674673,-96.899830440000002" TargetMode="External"/><Relationship Id="rId1520" Type="http://schemas.openxmlformats.org/officeDocument/2006/relationships/hyperlink" Target="https://maps.google.com/?q=16.78935715,-96.906991970000007" TargetMode="External"/><Relationship Id="rId3278" Type="http://schemas.openxmlformats.org/officeDocument/2006/relationships/hyperlink" Target="https://maps.google.com/?q=18.126261,-97.076296" TargetMode="External"/><Relationship Id="rId199" Type="http://schemas.openxmlformats.org/officeDocument/2006/relationships/hyperlink" Target="https://maps.google.com/?q=16.7839039888338,-96.5855738603302" TargetMode="External"/><Relationship Id="rId2087" Type="http://schemas.openxmlformats.org/officeDocument/2006/relationships/hyperlink" Target="https://maps.google.com/?q=17.207464,-96.801094000000006" TargetMode="External"/><Relationship Id="rId2294" Type="http://schemas.openxmlformats.org/officeDocument/2006/relationships/hyperlink" Target="https://maps.google.com/?q=17.026216,-97.928115000000005" TargetMode="External"/><Relationship Id="rId3138" Type="http://schemas.openxmlformats.org/officeDocument/2006/relationships/hyperlink" Target="https://maps.google.com/?q=16.4400700221419,-95.0077969590577" TargetMode="External"/><Relationship Id="rId266" Type="http://schemas.openxmlformats.org/officeDocument/2006/relationships/hyperlink" Target="https://maps.google.com/?q=17.1206468508053,-96.973827999999898" TargetMode="External"/><Relationship Id="rId473" Type="http://schemas.openxmlformats.org/officeDocument/2006/relationships/hyperlink" Target="https://maps.google.com/?q=17.42340627,-96.931503599999999" TargetMode="External"/><Relationship Id="rId680" Type="http://schemas.openxmlformats.org/officeDocument/2006/relationships/hyperlink" Target="https://maps.google.com/?q=17.2569426172986,-98.262939316054997" TargetMode="External"/><Relationship Id="rId2154" Type="http://schemas.openxmlformats.org/officeDocument/2006/relationships/hyperlink" Target="https://maps.google.com/?q=17.501442,-98.142583999999999" TargetMode="External"/><Relationship Id="rId2361" Type="http://schemas.openxmlformats.org/officeDocument/2006/relationships/hyperlink" Target="https://maps.google.com/?q=17.335316,-98.012051" TargetMode="External"/><Relationship Id="rId3205" Type="http://schemas.openxmlformats.org/officeDocument/2006/relationships/hyperlink" Target="https://maps.google.com/?q=17.027131,-96.077044000000001" TargetMode="External"/><Relationship Id="rId126" Type="http://schemas.openxmlformats.org/officeDocument/2006/relationships/hyperlink" Target="https://maps.google.com/?q=16.7782298848427,-96.575925512934504" TargetMode="External"/><Relationship Id="rId333" Type="http://schemas.openxmlformats.org/officeDocument/2006/relationships/hyperlink" Target="https://maps.google.com/?q=16.5178036454674,-97.781866341104504" TargetMode="External"/><Relationship Id="rId540" Type="http://schemas.openxmlformats.org/officeDocument/2006/relationships/hyperlink" Target="https://maps.google.com/?q=17.160720555931,-97.703842449073804" TargetMode="External"/><Relationship Id="rId1170" Type="http://schemas.openxmlformats.org/officeDocument/2006/relationships/hyperlink" Target="https://maps.google.com/?q=17.38264,-96.162344000000004" TargetMode="External"/><Relationship Id="rId2014" Type="http://schemas.openxmlformats.org/officeDocument/2006/relationships/hyperlink" Target="https://maps.google.com/?q=16.328751,-96.596529000000004" TargetMode="External"/><Relationship Id="rId2221" Type="http://schemas.openxmlformats.org/officeDocument/2006/relationships/hyperlink" Target="https://maps.google.com/?q=15.746144,-96.465182999999996" TargetMode="External"/><Relationship Id="rId1030" Type="http://schemas.openxmlformats.org/officeDocument/2006/relationships/hyperlink" Target="https://maps.google.com/?q=17.380384,-96.163616000000005" TargetMode="External"/><Relationship Id="rId400" Type="http://schemas.openxmlformats.org/officeDocument/2006/relationships/hyperlink" Target="https://maps.google.com/?q=16.4960397193343,-97.584039612268398" TargetMode="External"/><Relationship Id="rId1987" Type="http://schemas.openxmlformats.org/officeDocument/2006/relationships/hyperlink" Target="https://maps.google.com/?q=16.500512,-96.106790000000004" TargetMode="External"/><Relationship Id="rId1847" Type="http://schemas.openxmlformats.org/officeDocument/2006/relationships/hyperlink" Target="https://maps.google.com/?q=17.821728,-97.732708000000002" TargetMode="External"/><Relationship Id="rId1707" Type="http://schemas.openxmlformats.org/officeDocument/2006/relationships/hyperlink" Target="https://maps.google.com/?q=17.33792136,-97.930333660000002" TargetMode="External"/><Relationship Id="rId3062" Type="http://schemas.openxmlformats.org/officeDocument/2006/relationships/hyperlink" Target="https://maps.google.com/?q=16.4290369428066,-95.023895830127202" TargetMode="External"/><Relationship Id="rId190" Type="http://schemas.openxmlformats.org/officeDocument/2006/relationships/hyperlink" Target="https://maps.google.com/?q=16.7834478767462,-96.581389291996103" TargetMode="External"/><Relationship Id="rId1914" Type="http://schemas.openxmlformats.org/officeDocument/2006/relationships/hyperlink" Target="https://maps.google.com/?q=17.501442,-98.142583999999999" TargetMode="External"/><Relationship Id="rId2688" Type="http://schemas.openxmlformats.org/officeDocument/2006/relationships/hyperlink" Target="https://maps.google.com/?q=18.0530126371051,-96.146555317790998" TargetMode="External"/><Relationship Id="rId2895" Type="http://schemas.openxmlformats.org/officeDocument/2006/relationships/hyperlink" Target="https://maps.google.com/?q=17.320425,-98.239564000000001" TargetMode="External"/><Relationship Id="rId867" Type="http://schemas.openxmlformats.org/officeDocument/2006/relationships/hyperlink" Target="https://maps.google.com/?q=16.714624,-94.748165" TargetMode="External"/><Relationship Id="rId1497" Type="http://schemas.openxmlformats.org/officeDocument/2006/relationships/hyperlink" Target="https://maps.google.com/?q=16.78919827,-96.907734910000002" TargetMode="External"/><Relationship Id="rId2548" Type="http://schemas.openxmlformats.org/officeDocument/2006/relationships/hyperlink" Target="https://maps.google.com/?q=16.38682066877627,-96.837368223003267" TargetMode="External"/><Relationship Id="rId2755" Type="http://schemas.openxmlformats.org/officeDocument/2006/relationships/hyperlink" Target="https://maps.google.com/?q=18.0818497279764,-96.175392726354701" TargetMode="External"/><Relationship Id="rId2962" Type="http://schemas.openxmlformats.org/officeDocument/2006/relationships/hyperlink" Target="https://maps.google.com/?q=17.4311769,-98.2903862" TargetMode="External"/><Relationship Id="rId727" Type="http://schemas.openxmlformats.org/officeDocument/2006/relationships/hyperlink" Target="https://maps.google.com/?q=16.8897024741541,-95.029489564487704" TargetMode="External"/><Relationship Id="rId934" Type="http://schemas.openxmlformats.org/officeDocument/2006/relationships/hyperlink" Target="https://maps.google.com/?q=16.6760746976495,-94.775564684978903" TargetMode="External"/><Relationship Id="rId1357" Type="http://schemas.openxmlformats.org/officeDocument/2006/relationships/hyperlink" Target="https://maps.google.com/?q=16.78770984,-96.896548420000002" TargetMode="External"/><Relationship Id="rId1564" Type="http://schemas.openxmlformats.org/officeDocument/2006/relationships/hyperlink" Target="https://maps.google.com/?q=16.78979043,-96.902455990000007" TargetMode="External"/><Relationship Id="rId1771" Type="http://schemas.openxmlformats.org/officeDocument/2006/relationships/hyperlink" Target="https://maps.google.com/?q=17.312379,-96.912212999999994" TargetMode="External"/><Relationship Id="rId2408" Type="http://schemas.openxmlformats.org/officeDocument/2006/relationships/hyperlink" Target="https://maps.google.com/?q=16.38321679231931,-96.844200322183212" TargetMode="External"/><Relationship Id="rId2615" Type="http://schemas.openxmlformats.org/officeDocument/2006/relationships/hyperlink" Target="https://maps.google.com/?q=18.0956829359989,-96.103674194919407" TargetMode="External"/><Relationship Id="rId2822" Type="http://schemas.openxmlformats.org/officeDocument/2006/relationships/hyperlink" Target="https://maps.google.com/?q=17.0148734189963,-97.499169808422906" TargetMode="External"/><Relationship Id="rId63" Type="http://schemas.openxmlformats.org/officeDocument/2006/relationships/hyperlink" Target="https://maps.google.com/?q=16.982496569392,-96.891964440475505" TargetMode="External"/><Relationship Id="rId1217" Type="http://schemas.openxmlformats.org/officeDocument/2006/relationships/hyperlink" Target="https://maps.google.com/?q=17.09991227,-96.771197464" TargetMode="External"/><Relationship Id="rId1424" Type="http://schemas.openxmlformats.org/officeDocument/2006/relationships/hyperlink" Target="https://maps.google.com/?q=16.78865205,-96.915691949999996" TargetMode="External"/><Relationship Id="rId1631" Type="http://schemas.openxmlformats.org/officeDocument/2006/relationships/hyperlink" Target="https://maps.google.com/?q=17.2426657,-97.792136859999999" TargetMode="External"/><Relationship Id="rId2198" Type="http://schemas.openxmlformats.org/officeDocument/2006/relationships/hyperlink" Target="https://maps.google.com/?q=16.519807,-96.983885000000001" TargetMode="External"/><Relationship Id="rId3249" Type="http://schemas.openxmlformats.org/officeDocument/2006/relationships/hyperlink" Target="https://maps.google.com/?q=18.081169,-96.118475000000004" TargetMode="External"/><Relationship Id="rId377" Type="http://schemas.openxmlformats.org/officeDocument/2006/relationships/hyperlink" Target="https://maps.google.com/?q=16.4872750307543,-97.580058278434905" TargetMode="External"/><Relationship Id="rId584" Type="http://schemas.openxmlformats.org/officeDocument/2006/relationships/hyperlink" Target="https://maps.google.com/?q=17.1817328464618,-98.197413658895499" TargetMode="External"/><Relationship Id="rId2058" Type="http://schemas.openxmlformats.org/officeDocument/2006/relationships/hyperlink" Target="https://maps.google.com/?q=17.267449,-97.680485000000004" TargetMode="External"/><Relationship Id="rId2265" Type="http://schemas.openxmlformats.org/officeDocument/2006/relationships/hyperlink" Target="https://maps.google.com/?q=17.027131,-96.077044000000001" TargetMode="External"/><Relationship Id="rId3109" Type="http://schemas.openxmlformats.org/officeDocument/2006/relationships/hyperlink" Target="https://maps.google.com/?q=16.4375572698317,-95.029965222096706" TargetMode="External"/><Relationship Id="rId237" Type="http://schemas.openxmlformats.org/officeDocument/2006/relationships/hyperlink" Target="https://maps.google.com/?q=17.1065204411322,-96.964078619147998" TargetMode="External"/><Relationship Id="rId791" Type="http://schemas.openxmlformats.org/officeDocument/2006/relationships/hyperlink" Target="https://maps.google.com/?q=16.8905795691911,-95.041548682209097" TargetMode="External"/><Relationship Id="rId1074" Type="http://schemas.openxmlformats.org/officeDocument/2006/relationships/hyperlink" Target="https://maps.google.com/?q=17.380893,-96.161241000000004" TargetMode="External"/><Relationship Id="rId2472" Type="http://schemas.openxmlformats.org/officeDocument/2006/relationships/hyperlink" Target="https://maps.google.com/?q=16.384705705444002,-96.842927951625441" TargetMode="External"/><Relationship Id="rId444" Type="http://schemas.openxmlformats.org/officeDocument/2006/relationships/hyperlink" Target="https://maps.google.com/?q=17.41534969,-97.01307328" TargetMode="External"/><Relationship Id="rId651" Type="http://schemas.openxmlformats.org/officeDocument/2006/relationships/hyperlink" Target="https://maps.google.com/?q=17.22150609,-98.192452169999996" TargetMode="External"/><Relationship Id="rId1281" Type="http://schemas.openxmlformats.org/officeDocument/2006/relationships/hyperlink" Target="https://maps.google.com/?q=16.78262671,-96.935230480000001" TargetMode="External"/><Relationship Id="rId2125" Type="http://schemas.openxmlformats.org/officeDocument/2006/relationships/hyperlink" Target="https://maps.google.com/?q=17.511838,-97.488547999999994" TargetMode="External"/><Relationship Id="rId2332" Type="http://schemas.openxmlformats.org/officeDocument/2006/relationships/hyperlink" Target="https://maps.google.com/?q=17.361766,-95.922253999999995" TargetMode="External"/><Relationship Id="rId304" Type="http://schemas.openxmlformats.org/officeDocument/2006/relationships/hyperlink" Target="https://maps.google.com/?q=16.616785386412,-97.791342006463196" TargetMode="External"/><Relationship Id="rId511" Type="http://schemas.openxmlformats.org/officeDocument/2006/relationships/hyperlink" Target="https://maps.google.com/?q=17.1196007699931,-97.720056640891301" TargetMode="External"/><Relationship Id="rId1141" Type="http://schemas.openxmlformats.org/officeDocument/2006/relationships/hyperlink" Target="https://maps.google.com/?q=17.381792,-96.161300999999995" TargetMode="External"/><Relationship Id="rId1001" Type="http://schemas.openxmlformats.org/officeDocument/2006/relationships/hyperlink" Target="https://maps.google.com/?q=17.380008,-96.162597000000005" TargetMode="External"/><Relationship Id="rId1958" Type="http://schemas.openxmlformats.org/officeDocument/2006/relationships/hyperlink" Target="https://maps.google.com/?q=16.519807,-96.983885000000001" TargetMode="External"/><Relationship Id="rId3173" Type="http://schemas.openxmlformats.org/officeDocument/2006/relationships/hyperlink" Target="https://maps.google.com/?q=16.4530676956717,-95.019753603313504" TargetMode="External"/><Relationship Id="rId1818" Type="http://schemas.openxmlformats.org/officeDocument/2006/relationships/hyperlink" Target="https://maps.google.com/?q=15.7738415,-96.142973499999997" TargetMode="External"/><Relationship Id="rId3033" Type="http://schemas.openxmlformats.org/officeDocument/2006/relationships/hyperlink" Target="https://maps.google.com/?q=16.4261246816282,-95.028902206500803" TargetMode="External"/><Relationship Id="rId3240" Type="http://schemas.openxmlformats.org/officeDocument/2006/relationships/hyperlink" Target="https://maps.google.com/?q=17.335316,-98.012051" TargetMode="External"/><Relationship Id="rId161" Type="http://schemas.openxmlformats.org/officeDocument/2006/relationships/hyperlink" Target="https://maps.google.com/?q=16.7818005374881,-96.583003435821894" TargetMode="External"/><Relationship Id="rId2799" Type="http://schemas.openxmlformats.org/officeDocument/2006/relationships/hyperlink" Target="https://maps.google.com/?q=18.0971736385945,-96.163112023313602" TargetMode="External"/><Relationship Id="rId3100" Type="http://schemas.openxmlformats.org/officeDocument/2006/relationships/hyperlink" Target="https://maps.google.com/?q=16.4362367326054,-95.022794109319605" TargetMode="External"/><Relationship Id="rId978" Type="http://schemas.openxmlformats.org/officeDocument/2006/relationships/hyperlink" Target="https://maps.google.com/?q=17.379691,-96.161596000000003" TargetMode="External"/><Relationship Id="rId2659" Type="http://schemas.openxmlformats.org/officeDocument/2006/relationships/hyperlink" Target="https://maps.google.com/?q=18.0290547627605,-96.1566248687175" TargetMode="External"/><Relationship Id="rId2866" Type="http://schemas.openxmlformats.org/officeDocument/2006/relationships/hyperlink" Target="https://maps.google.com/?q=17.0618236952021,-97.477043906746104" TargetMode="External"/><Relationship Id="rId838" Type="http://schemas.openxmlformats.org/officeDocument/2006/relationships/hyperlink" Target="https://maps.google.com/?q=16.7131510785658,-94.745523970569593" TargetMode="External"/><Relationship Id="rId1468" Type="http://schemas.openxmlformats.org/officeDocument/2006/relationships/hyperlink" Target="https://maps.google.com/?q=16.78904109,-96.892796989999994" TargetMode="External"/><Relationship Id="rId1675" Type="http://schemas.openxmlformats.org/officeDocument/2006/relationships/hyperlink" Target="https://maps.google.com/?q=17.25588782,-97.80199589" TargetMode="External"/><Relationship Id="rId1882" Type="http://schemas.openxmlformats.org/officeDocument/2006/relationships/hyperlink" Target="https://maps.google.com/?q=17.361766,-95.922253999999995" TargetMode="External"/><Relationship Id="rId2519" Type="http://schemas.openxmlformats.org/officeDocument/2006/relationships/hyperlink" Target="https://maps.google.com/?q=16.385666389709627,-96.843805555088537" TargetMode="External"/><Relationship Id="rId2726" Type="http://schemas.openxmlformats.org/officeDocument/2006/relationships/hyperlink" Target="https://maps.google.com/?q=18.06331,-96.147093999999996" TargetMode="External"/><Relationship Id="rId1328" Type="http://schemas.openxmlformats.org/officeDocument/2006/relationships/hyperlink" Target="https://maps.google.com/?q=16.78702209,-96.898659640000005" TargetMode="External"/><Relationship Id="rId1535" Type="http://schemas.openxmlformats.org/officeDocument/2006/relationships/hyperlink" Target="https://maps.google.com/?q=16.78952671,-96.906327059999995" TargetMode="External"/><Relationship Id="rId2933" Type="http://schemas.openxmlformats.org/officeDocument/2006/relationships/hyperlink" Target="https://maps.google.com/?q=17.337628,-98.170355000000001" TargetMode="External"/><Relationship Id="rId905" Type="http://schemas.openxmlformats.org/officeDocument/2006/relationships/hyperlink" Target="https://maps.google.com/?q=16.716341,-94.747850999999997" TargetMode="External"/><Relationship Id="rId1742" Type="http://schemas.openxmlformats.org/officeDocument/2006/relationships/hyperlink" Target="https://maps.google.com/?q=16.32911,-96.587143999999995" TargetMode="External"/><Relationship Id="rId34" Type="http://schemas.openxmlformats.org/officeDocument/2006/relationships/hyperlink" Target="https://maps.google.com/?q=15.9883351366867,-95.6751719934324" TargetMode="External"/><Relationship Id="rId1602" Type="http://schemas.openxmlformats.org/officeDocument/2006/relationships/hyperlink" Target="https://maps.google.com/?q=16.79033438,-96.904459360000004" TargetMode="External"/><Relationship Id="rId488" Type="http://schemas.openxmlformats.org/officeDocument/2006/relationships/hyperlink" Target="https://maps.google.com/?q=17.3829948150955,-96.9190318224653" TargetMode="External"/><Relationship Id="rId695" Type="http://schemas.openxmlformats.org/officeDocument/2006/relationships/hyperlink" Target="https://maps.google.com/?q=17.2587850027112,-98.261480000000006" TargetMode="External"/><Relationship Id="rId2169" Type="http://schemas.openxmlformats.org/officeDocument/2006/relationships/hyperlink" Target="https://maps.google.com/?q=16.564244,-96.731829000000005" TargetMode="External"/><Relationship Id="rId2376" Type="http://schemas.openxmlformats.org/officeDocument/2006/relationships/hyperlink" Target="https://maps.google.com/?q=16.38058305210676,-96.845339809600731" TargetMode="External"/><Relationship Id="rId2583" Type="http://schemas.openxmlformats.org/officeDocument/2006/relationships/hyperlink" Target="https://maps.google.com/?q=16.39216302960382,-96.843235080316319" TargetMode="External"/><Relationship Id="rId2790" Type="http://schemas.openxmlformats.org/officeDocument/2006/relationships/hyperlink" Target="https://maps.google.com/?q=18.0896794605884,-96.172132912862693" TargetMode="External"/><Relationship Id="rId348" Type="http://schemas.openxmlformats.org/officeDocument/2006/relationships/hyperlink" Target="https://maps.google.com/?q=16.4991707078626,-97.782534513447303" TargetMode="External"/><Relationship Id="rId555" Type="http://schemas.openxmlformats.org/officeDocument/2006/relationships/hyperlink" Target="https://maps.google.com/?q=17.078195,-96.747731" TargetMode="External"/><Relationship Id="rId762" Type="http://schemas.openxmlformats.org/officeDocument/2006/relationships/hyperlink" Target="https://maps.google.com/?q=16.8193461538416,-95.117520042208994" TargetMode="External"/><Relationship Id="rId1185" Type="http://schemas.openxmlformats.org/officeDocument/2006/relationships/hyperlink" Target="https://maps.google.com/?q=17.100503,%20-96.771652" TargetMode="External"/><Relationship Id="rId1392" Type="http://schemas.openxmlformats.org/officeDocument/2006/relationships/hyperlink" Target="https://maps.google.com/?q=16.78820638,-96.893787200000006" TargetMode="External"/><Relationship Id="rId2029" Type="http://schemas.openxmlformats.org/officeDocument/2006/relationships/hyperlink" Target="https://maps.google.com/?q=17.331248,-96.487900999999994" TargetMode="External"/><Relationship Id="rId2236" Type="http://schemas.openxmlformats.org/officeDocument/2006/relationships/hyperlink" Target="https://maps.google.com/?q=17.063778,-96.729971000000006" TargetMode="External"/><Relationship Id="rId2443" Type="http://schemas.openxmlformats.org/officeDocument/2006/relationships/hyperlink" Target="https://maps.google.com/?q=16.384300816582666,-96.845167362605139" TargetMode="External"/><Relationship Id="rId2650" Type="http://schemas.openxmlformats.org/officeDocument/2006/relationships/hyperlink" Target="https://maps.google.com/?q=18.1221892958549,-95.999786714470801" TargetMode="External"/><Relationship Id="rId208" Type="http://schemas.openxmlformats.org/officeDocument/2006/relationships/hyperlink" Target="https://maps.google.com/?q=16.7844726317739,-96.584231373016394" TargetMode="External"/><Relationship Id="rId415" Type="http://schemas.openxmlformats.org/officeDocument/2006/relationships/hyperlink" Target="https://maps.google.com/?q=17.4025104432983,-96.928930565641394" TargetMode="External"/><Relationship Id="rId622" Type="http://schemas.openxmlformats.org/officeDocument/2006/relationships/hyperlink" Target="https://maps.google.com/?q=17.2756849025297,-98.275288141715805" TargetMode="External"/><Relationship Id="rId1045" Type="http://schemas.openxmlformats.org/officeDocument/2006/relationships/hyperlink" Target="https://maps.google.com/?q=17.380491,-96.161867999999998" TargetMode="External"/><Relationship Id="rId1252" Type="http://schemas.openxmlformats.org/officeDocument/2006/relationships/hyperlink" Target="https://maps.google.com/?q=16.78085887,-96.945682939999998" TargetMode="External"/><Relationship Id="rId2303" Type="http://schemas.openxmlformats.org/officeDocument/2006/relationships/hyperlink" Target="https://maps.google.com/?q=17.458341,-97.225285" TargetMode="External"/><Relationship Id="rId2510" Type="http://schemas.openxmlformats.org/officeDocument/2006/relationships/hyperlink" Target="https://maps.google.com/?q=16.385508487700495,-96.843777932985276" TargetMode="External"/><Relationship Id="rId1112" Type="http://schemas.openxmlformats.org/officeDocument/2006/relationships/hyperlink" Target="https://maps.google.com/?q=17.381271,-96.160165000000006" TargetMode="External"/><Relationship Id="rId3077" Type="http://schemas.openxmlformats.org/officeDocument/2006/relationships/hyperlink" Target="https://maps.google.com/?q=16.4303445780477,-95.021387638886097" TargetMode="External"/><Relationship Id="rId3284" Type="http://schemas.openxmlformats.org/officeDocument/2006/relationships/hyperlink" Target="https://maps.google.com/?q=18.222818,-96.758959" TargetMode="External"/><Relationship Id="rId1929" Type="http://schemas.openxmlformats.org/officeDocument/2006/relationships/hyperlink" Target="https://maps.google.com/?q=16.564244,-96.731829000000005" TargetMode="External"/><Relationship Id="rId2093" Type="http://schemas.openxmlformats.org/officeDocument/2006/relationships/hyperlink" Target="https://maps.google.com/?q=17.458341,-97.225285" TargetMode="External"/><Relationship Id="rId3144" Type="http://schemas.openxmlformats.org/officeDocument/2006/relationships/hyperlink" Target="https://maps.google.com/?q=16.4407788449722,-95.011984127100405" TargetMode="External"/><Relationship Id="rId272" Type="http://schemas.openxmlformats.org/officeDocument/2006/relationships/hyperlink" Target="https://maps.google.com/?q=17.1251114109548,-96.970250658895495" TargetMode="External"/><Relationship Id="rId2160" Type="http://schemas.openxmlformats.org/officeDocument/2006/relationships/hyperlink" Target="https://maps.google.com/?q=18.13222,-97.070751000000001" TargetMode="External"/><Relationship Id="rId3004" Type="http://schemas.openxmlformats.org/officeDocument/2006/relationships/hyperlink" Target="https://maps.google.com/?q=16.423498223984,-95.026471915495193" TargetMode="External"/><Relationship Id="rId3211" Type="http://schemas.openxmlformats.org/officeDocument/2006/relationships/hyperlink" Target="https://maps.google.com/?q=17.33873,-96.152553999999995" TargetMode="External"/><Relationship Id="rId132" Type="http://schemas.openxmlformats.org/officeDocument/2006/relationships/hyperlink" Target="https://maps.google.com/?q=16.7796606577629,-96.581591298064794" TargetMode="External"/><Relationship Id="rId2020" Type="http://schemas.openxmlformats.org/officeDocument/2006/relationships/hyperlink" Target="https://maps.google.com/?q=16.791625,-96.674999" TargetMode="External"/><Relationship Id="rId1579" Type="http://schemas.openxmlformats.org/officeDocument/2006/relationships/hyperlink" Target="https://maps.google.com/?q=16.78992078,-96.903982189999994" TargetMode="External"/><Relationship Id="rId2977" Type="http://schemas.openxmlformats.org/officeDocument/2006/relationships/hyperlink" Target="https://maps.google.com/?q=17.4327573452049,-98.293467052743907" TargetMode="External"/><Relationship Id="rId949" Type="http://schemas.openxmlformats.org/officeDocument/2006/relationships/hyperlink" Target="https://maps.google.com/?q=16.6801950583553,-94.771704500362901" TargetMode="External"/><Relationship Id="rId1786" Type="http://schemas.openxmlformats.org/officeDocument/2006/relationships/hyperlink" Target="https://maps.google.com/?q=15.7731269,-96.141510999999994" TargetMode="External"/><Relationship Id="rId1993" Type="http://schemas.openxmlformats.org/officeDocument/2006/relationships/hyperlink" Target="https://maps.google.com/?q=16.95558,-96.479206000000005" TargetMode="External"/><Relationship Id="rId2837" Type="http://schemas.openxmlformats.org/officeDocument/2006/relationships/hyperlink" Target="https://maps.google.com/?q=17.0326214410806,-97.511085721565806" TargetMode="External"/><Relationship Id="rId78" Type="http://schemas.openxmlformats.org/officeDocument/2006/relationships/hyperlink" Target="https://maps.google.com/?q=17.0182012360457,-96.858724109321798" TargetMode="External"/><Relationship Id="rId809" Type="http://schemas.openxmlformats.org/officeDocument/2006/relationships/hyperlink" Target="https://maps.google.com/?q=16.8792042860154,-95.051250163194496" TargetMode="External"/><Relationship Id="rId1439" Type="http://schemas.openxmlformats.org/officeDocument/2006/relationships/hyperlink" Target="https://maps.google.com/?q=16.78876468,-96.897183369999993" TargetMode="External"/><Relationship Id="rId1646" Type="http://schemas.openxmlformats.org/officeDocument/2006/relationships/hyperlink" Target="https://maps.google.com/?q=17.3239073881559,-97.897234113632294" TargetMode="External"/><Relationship Id="rId1853" Type="http://schemas.openxmlformats.org/officeDocument/2006/relationships/hyperlink" Target="https://maps.google.com/?q=17.823488,-97.732534000000001" TargetMode="External"/><Relationship Id="rId2904" Type="http://schemas.openxmlformats.org/officeDocument/2006/relationships/hyperlink" Target="https://maps.google.com/?q=17.322542,-98.238269000000003" TargetMode="External"/><Relationship Id="rId1506" Type="http://schemas.openxmlformats.org/officeDocument/2006/relationships/hyperlink" Target="https://maps.google.com/?q=16.78925526,-96.89741386" TargetMode="External"/><Relationship Id="rId1713" Type="http://schemas.openxmlformats.org/officeDocument/2006/relationships/hyperlink" Target="https://maps.google.com/?q=16.787476,-96.792917000000003" TargetMode="External"/><Relationship Id="rId1920" Type="http://schemas.openxmlformats.org/officeDocument/2006/relationships/hyperlink" Target="https://maps.google.com/?q=18.13222,-97.070751000000001" TargetMode="External"/><Relationship Id="rId599" Type="http://schemas.openxmlformats.org/officeDocument/2006/relationships/hyperlink" Target="https://maps.google.com/?q=17.2716980027133,-98.277124999999998" TargetMode="External"/><Relationship Id="rId2487" Type="http://schemas.openxmlformats.org/officeDocument/2006/relationships/hyperlink" Target="https://maps.google.com/?q=16.385124960401,-96.839631028045915" TargetMode="External"/><Relationship Id="rId2694" Type="http://schemas.openxmlformats.org/officeDocument/2006/relationships/hyperlink" Target="https://maps.google.com/?q=18.0545869512899,-96.148876743551298" TargetMode="External"/><Relationship Id="rId459" Type="http://schemas.openxmlformats.org/officeDocument/2006/relationships/hyperlink" Target="https://maps.google.com/?q=17.413589,-96.930863000000002" TargetMode="External"/><Relationship Id="rId666" Type="http://schemas.openxmlformats.org/officeDocument/2006/relationships/hyperlink" Target="https://maps.google.com/?q=17.2561734850831,-98.264803130475599" TargetMode="External"/><Relationship Id="rId873" Type="http://schemas.openxmlformats.org/officeDocument/2006/relationships/hyperlink" Target="https://maps.google.com/?q=16.714746,-94.748132999999996" TargetMode="External"/><Relationship Id="rId1089" Type="http://schemas.openxmlformats.org/officeDocument/2006/relationships/hyperlink" Target="https://maps.google.com/?q=17.381017,-96.160955999999999" TargetMode="External"/><Relationship Id="rId1296" Type="http://schemas.openxmlformats.org/officeDocument/2006/relationships/hyperlink" Target="https://maps.google.com/?q=16.78600583,-96.929676549999996" TargetMode="External"/><Relationship Id="rId2347" Type="http://schemas.openxmlformats.org/officeDocument/2006/relationships/hyperlink" Target="https://maps.google.com/?q=16.433347,-95.021687" TargetMode="External"/><Relationship Id="rId2554" Type="http://schemas.openxmlformats.org/officeDocument/2006/relationships/hyperlink" Target="https://maps.google.com/?q=16.3870274961446,-96.838543692864491" TargetMode="External"/><Relationship Id="rId319" Type="http://schemas.openxmlformats.org/officeDocument/2006/relationships/hyperlink" Target="https://maps.google.com/?q=16.5137003612092,-97.780740387731598" TargetMode="External"/><Relationship Id="rId526" Type="http://schemas.openxmlformats.org/officeDocument/2006/relationships/hyperlink" Target="https://maps.google.com/?q=17.1545154893833,-97.718071573085595" TargetMode="External"/><Relationship Id="rId1156" Type="http://schemas.openxmlformats.org/officeDocument/2006/relationships/hyperlink" Target="https://maps.google.com/?q=17.382072,-96.160396000000006" TargetMode="External"/><Relationship Id="rId1363" Type="http://schemas.openxmlformats.org/officeDocument/2006/relationships/hyperlink" Target="https://maps.google.com/?q=16.78779886,-96.899797019999994" TargetMode="External"/><Relationship Id="rId2207" Type="http://schemas.openxmlformats.org/officeDocument/2006/relationships/hyperlink" Target="https://maps.google.com/?q=17.207464,-96.801094000000006" TargetMode="External"/><Relationship Id="rId2761" Type="http://schemas.openxmlformats.org/officeDocument/2006/relationships/hyperlink" Target="https://maps.google.com/?q=18.08325,-96.164671999999996" TargetMode="External"/><Relationship Id="rId733" Type="http://schemas.openxmlformats.org/officeDocument/2006/relationships/hyperlink" Target="https://maps.google.com/?q=16.8615695695806,-95.054267294477498" TargetMode="External"/><Relationship Id="rId940" Type="http://schemas.openxmlformats.org/officeDocument/2006/relationships/hyperlink" Target="https://maps.google.com/?q=16.6782795381209,-94.775124932540905" TargetMode="External"/><Relationship Id="rId1016" Type="http://schemas.openxmlformats.org/officeDocument/2006/relationships/hyperlink" Target="https://maps.google.com/?q=17.380237,-96.159681000000006" TargetMode="External"/><Relationship Id="rId1570" Type="http://schemas.openxmlformats.org/officeDocument/2006/relationships/hyperlink" Target="https://maps.google.com/?q=16.78982466,-96.894446220000006" TargetMode="External"/><Relationship Id="rId2414" Type="http://schemas.openxmlformats.org/officeDocument/2006/relationships/hyperlink" Target="https://maps.google.com/?q=16.383527135660295,-96.837003405454794" TargetMode="External"/><Relationship Id="rId2621" Type="http://schemas.openxmlformats.org/officeDocument/2006/relationships/hyperlink" Target="https://maps.google.com/?q=18.1027164143122,-96.104588250258402" TargetMode="External"/><Relationship Id="rId800" Type="http://schemas.openxmlformats.org/officeDocument/2006/relationships/hyperlink" Target="https://maps.google.com/?q=16.895668632055,-95.039360023313506" TargetMode="External"/><Relationship Id="rId1223" Type="http://schemas.openxmlformats.org/officeDocument/2006/relationships/hyperlink" Target="https://maps.google.com/?q=17.101757678,-96.772678852" TargetMode="External"/><Relationship Id="rId1430" Type="http://schemas.openxmlformats.org/officeDocument/2006/relationships/hyperlink" Target="https://maps.google.com/?q=16.78868891,-96.913149989999994" TargetMode="External"/><Relationship Id="rId3188" Type="http://schemas.openxmlformats.org/officeDocument/2006/relationships/hyperlink" Target="https://maps.google.com/?q=17.126347571610154,-96.76792805042068" TargetMode="External"/><Relationship Id="rId3048" Type="http://schemas.openxmlformats.org/officeDocument/2006/relationships/hyperlink" Target="https://maps.google.com/?q=16.4275392119698,-95.021808745698195" TargetMode="External"/><Relationship Id="rId3255" Type="http://schemas.openxmlformats.org/officeDocument/2006/relationships/hyperlink" Target="https://maps.google.com/?q=17.190007,-96.848653" TargetMode="External"/><Relationship Id="rId176" Type="http://schemas.openxmlformats.org/officeDocument/2006/relationships/hyperlink" Target="https://maps.google.com/?q=16.7825537033089,-96.577896274292002" TargetMode="External"/><Relationship Id="rId383" Type="http://schemas.openxmlformats.org/officeDocument/2006/relationships/hyperlink" Target="https://maps.google.com/?q=16.490028,-97.580570800000004" TargetMode="External"/><Relationship Id="rId590" Type="http://schemas.openxmlformats.org/officeDocument/2006/relationships/hyperlink" Target="https://maps.google.com/?q=17.2711240027132,-98.276711658895493" TargetMode="External"/><Relationship Id="rId2064" Type="http://schemas.openxmlformats.org/officeDocument/2006/relationships/hyperlink" Target="https://maps.google.com/?q=17.501442,-98.142583999999999" TargetMode="External"/><Relationship Id="rId2271" Type="http://schemas.openxmlformats.org/officeDocument/2006/relationships/hyperlink" Target="https://maps.google.com/?q=17.33873,-96.152553999999995" TargetMode="External"/><Relationship Id="rId3115" Type="http://schemas.openxmlformats.org/officeDocument/2006/relationships/hyperlink" Target="https://maps.google.com/?q=16.4383618143286,-95.027536907339694" TargetMode="External"/><Relationship Id="rId243" Type="http://schemas.openxmlformats.org/officeDocument/2006/relationships/hyperlink" Target="https://maps.google.com/?q=16.981643,-97.023022999999995" TargetMode="External"/><Relationship Id="rId450" Type="http://schemas.openxmlformats.org/officeDocument/2006/relationships/hyperlink" Target="https://maps.google.com/?q=17.4130191,-96.932164999999998" TargetMode="External"/><Relationship Id="rId1080" Type="http://schemas.openxmlformats.org/officeDocument/2006/relationships/hyperlink" Target="https://maps.google.com/?q=17.380919,-96.163228000000004" TargetMode="External"/><Relationship Id="rId2131" Type="http://schemas.openxmlformats.org/officeDocument/2006/relationships/hyperlink" Target="https://maps.google.com/?q=15.746144,-96.465182999999996" TargetMode="External"/><Relationship Id="rId103" Type="http://schemas.openxmlformats.org/officeDocument/2006/relationships/hyperlink" Target="https://maps.google.com/?q=17.0155638512276,-96.887776201223303" TargetMode="External"/><Relationship Id="rId310" Type="http://schemas.openxmlformats.org/officeDocument/2006/relationships/hyperlink" Target="https://maps.google.com/?q=16.618177142961,-97.789265976686494" TargetMode="External"/><Relationship Id="rId1897" Type="http://schemas.openxmlformats.org/officeDocument/2006/relationships/hyperlink" Target="https://maps.google.com/?q=16.500512,-96.106790000000004" TargetMode="External"/><Relationship Id="rId2948" Type="http://schemas.openxmlformats.org/officeDocument/2006/relationships/hyperlink" Target="https://maps.google.com/?q=17.42873,-98.290055" TargetMode="External"/><Relationship Id="rId1757" Type="http://schemas.openxmlformats.org/officeDocument/2006/relationships/hyperlink" Target="https://maps.google.com/?q=17.308419,-96.899759000000003" TargetMode="External"/><Relationship Id="rId1964" Type="http://schemas.openxmlformats.org/officeDocument/2006/relationships/hyperlink" Target="https://maps.google.com/?q=17.026216,-97.928115000000005" TargetMode="External"/><Relationship Id="rId2808" Type="http://schemas.openxmlformats.org/officeDocument/2006/relationships/hyperlink" Target="https://maps.google.com/?q=18.099220364595,-96.158818743149993" TargetMode="External"/><Relationship Id="rId49" Type="http://schemas.openxmlformats.org/officeDocument/2006/relationships/hyperlink" Target="https://maps.google.com/?q=16.9788952638564,-96.890065510416093" TargetMode="External"/><Relationship Id="rId1617" Type="http://schemas.openxmlformats.org/officeDocument/2006/relationships/hyperlink" Target="https://maps.google.com/?q=17.3038096901433,-97.935356892837305" TargetMode="External"/><Relationship Id="rId1824" Type="http://schemas.openxmlformats.org/officeDocument/2006/relationships/hyperlink" Target="https://maps.google.com/?q=15.7740289,-96.143585900000005" TargetMode="External"/><Relationship Id="rId2598" Type="http://schemas.openxmlformats.org/officeDocument/2006/relationships/hyperlink" Target="https://maps.google.com/?q=16.395346930800624,-96.844828181232131" TargetMode="External"/><Relationship Id="rId777" Type="http://schemas.openxmlformats.org/officeDocument/2006/relationships/hyperlink" Target="https://maps.google.com/?q=16.8234493710935,-95.1185387852057" TargetMode="External"/><Relationship Id="rId984" Type="http://schemas.openxmlformats.org/officeDocument/2006/relationships/hyperlink" Target="https://maps.google.com/?q=17.379782,-96.159640999999993" TargetMode="External"/><Relationship Id="rId2458" Type="http://schemas.openxmlformats.org/officeDocument/2006/relationships/hyperlink" Target="https://maps.google.com/?q=16.38448747158448,-96.836012704563743" TargetMode="External"/><Relationship Id="rId2665" Type="http://schemas.openxmlformats.org/officeDocument/2006/relationships/hyperlink" Target="https://maps.google.com/?q=18.0501015866906,-96.1346359270064" TargetMode="External"/><Relationship Id="rId2872" Type="http://schemas.openxmlformats.org/officeDocument/2006/relationships/hyperlink" Target="https://maps.google.com/?q=17.0638138476705,-97.4783714257603" TargetMode="External"/><Relationship Id="rId637" Type="http://schemas.openxmlformats.org/officeDocument/2006/relationships/hyperlink" Target="https://maps.google.com/?q=17.2811940027149,-98.281368999999998" TargetMode="External"/><Relationship Id="rId844" Type="http://schemas.openxmlformats.org/officeDocument/2006/relationships/hyperlink" Target="https://maps.google.com/?q=16.7133165892227,-94.749453775463095" TargetMode="External"/><Relationship Id="rId1267" Type="http://schemas.openxmlformats.org/officeDocument/2006/relationships/hyperlink" Target="https://maps.google.com/?q=16.78192387,-96.94861994" TargetMode="External"/><Relationship Id="rId1474" Type="http://schemas.openxmlformats.org/officeDocument/2006/relationships/hyperlink" Target="https://maps.google.com/?q=16.78906275,-96.891663129999998" TargetMode="External"/><Relationship Id="rId1681" Type="http://schemas.openxmlformats.org/officeDocument/2006/relationships/hyperlink" Target="https://maps.google.com/?q=17.3846191221067,-97.911816682209206" TargetMode="External"/><Relationship Id="rId2318" Type="http://schemas.openxmlformats.org/officeDocument/2006/relationships/hyperlink" Target="https://maps.google.com/?q=16.519807,-96.983885000000001" TargetMode="External"/><Relationship Id="rId2525" Type="http://schemas.openxmlformats.org/officeDocument/2006/relationships/hyperlink" Target="https://maps.google.com/?q=16.38592983166898,-96.840875093466323" TargetMode="External"/><Relationship Id="rId2732" Type="http://schemas.openxmlformats.org/officeDocument/2006/relationships/hyperlink" Target="https://maps.google.com/?q=18.0743312823197,-96.173507033608303" TargetMode="External"/><Relationship Id="rId704" Type="http://schemas.openxmlformats.org/officeDocument/2006/relationships/hyperlink" Target="https://maps.google.com/?q=17.2595873083304,-98.2638304779272" TargetMode="External"/><Relationship Id="rId911" Type="http://schemas.openxmlformats.org/officeDocument/2006/relationships/hyperlink" Target="https://maps.google.com/?q=16.716884,-94.745659000000003" TargetMode="External"/><Relationship Id="rId1127" Type="http://schemas.openxmlformats.org/officeDocument/2006/relationships/hyperlink" Target="https://maps.google.com/?q=17.38152,-96.161578000000006" TargetMode="External"/><Relationship Id="rId1334" Type="http://schemas.openxmlformats.org/officeDocument/2006/relationships/hyperlink" Target="https://maps.google.com/?q=16.78720566,-96.896978989999994" TargetMode="External"/><Relationship Id="rId1541" Type="http://schemas.openxmlformats.org/officeDocument/2006/relationships/hyperlink" Target="https://maps.google.com/?q=16.78960169,-96.894842850000003" TargetMode="External"/><Relationship Id="rId40" Type="http://schemas.openxmlformats.org/officeDocument/2006/relationships/hyperlink" Target="https://maps.google.com/?q=15.99020064,-95.679832329999996" TargetMode="External"/><Relationship Id="rId1401" Type="http://schemas.openxmlformats.org/officeDocument/2006/relationships/hyperlink" Target="https://maps.google.com/?q=16.78839409,-96.919660030000003" TargetMode="External"/><Relationship Id="rId3159" Type="http://schemas.openxmlformats.org/officeDocument/2006/relationships/hyperlink" Target="https://maps.google.com/?q=16.446064,-95.022199610000001" TargetMode="External"/><Relationship Id="rId287" Type="http://schemas.openxmlformats.org/officeDocument/2006/relationships/hyperlink" Target="https://maps.google.com/?q=16.613345437391,-97.784598076058103" TargetMode="External"/><Relationship Id="rId494" Type="http://schemas.openxmlformats.org/officeDocument/2006/relationships/hyperlink" Target="https://maps.google.com/?q=17.29417889,-96.905721797400005" TargetMode="External"/><Relationship Id="rId2175" Type="http://schemas.openxmlformats.org/officeDocument/2006/relationships/hyperlink" Target="https://maps.google.com/?q=17.027131,-96.077044000000001" TargetMode="External"/><Relationship Id="rId2382" Type="http://schemas.openxmlformats.org/officeDocument/2006/relationships/hyperlink" Target="https://maps.google.com/?q=16.380848125486956,-96.847666563541196" TargetMode="External"/><Relationship Id="rId3019" Type="http://schemas.openxmlformats.org/officeDocument/2006/relationships/hyperlink" Target="https://maps.google.com/?q=16.4254522251621,-95.018964623348396" TargetMode="External"/><Relationship Id="rId3226" Type="http://schemas.openxmlformats.org/officeDocument/2006/relationships/hyperlink" Target="https://maps.google.com/?q=16.433347,-95.021687" TargetMode="External"/><Relationship Id="rId147" Type="http://schemas.openxmlformats.org/officeDocument/2006/relationships/hyperlink" Target="https://maps.google.com/?q=16.7807510026316,-96.580223822090204" TargetMode="External"/><Relationship Id="rId354" Type="http://schemas.openxmlformats.org/officeDocument/2006/relationships/hyperlink" Target="https://maps.google.com/?q=16.4993550873336,-97.780078203704704" TargetMode="External"/><Relationship Id="rId1191" Type="http://schemas.openxmlformats.org/officeDocument/2006/relationships/hyperlink" Target="https://maps.google.com/?q=17.102515,%20-96.773515" TargetMode="External"/><Relationship Id="rId2035" Type="http://schemas.openxmlformats.org/officeDocument/2006/relationships/hyperlink" Target="https://maps.google.com/?q=17.511838,-97.488547999999994" TargetMode="External"/><Relationship Id="rId561" Type="http://schemas.openxmlformats.org/officeDocument/2006/relationships/hyperlink" Target="https://maps.google.com/?q=17.1751305652975,-98.195314317791002" TargetMode="External"/><Relationship Id="rId2242" Type="http://schemas.openxmlformats.org/officeDocument/2006/relationships/hyperlink" Target="https://maps.google.com/?q=17.361766,-95.922253999999995" TargetMode="External"/><Relationship Id="rId214" Type="http://schemas.openxmlformats.org/officeDocument/2006/relationships/hyperlink" Target="https://maps.google.com/?q=16.785003854533,-96.579658968088197" TargetMode="External"/><Relationship Id="rId421" Type="http://schemas.openxmlformats.org/officeDocument/2006/relationships/hyperlink" Target="https://maps.google.com/?q=17.403461309,-96.930072284399998" TargetMode="External"/><Relationship Id="rId1051" Type="http://schemas.openxmlformats.org/officeDocument/2006/relationships/hyperlink" Target="https://maps.google.com/?q=17.380584,-96.160928999999996" TargetMode="External"/><Relationship Id="rId2102" Type="http://schemas.openxmlformats.org/officeDocument/2006/relationships/hyperlink" Target="https://maps.google.com/?q=16.237076,-97.292351999999994" TargetMode="External"/><Relationship Id="rId1868" Type="http://schemas.openxmlformats.org/officeDocument/2006/relationships/hyperlink" Target="https://maps.google.com/?q=16.519807,-96.983885000000001" TargetMode="External"/><Relationship Id="rId2919" Type="http://schemas.openxmlformats.org/officeDocument/2006/relationships/hyperlink" Target="https://maps.google.com/?q=17.3343023846256,-98.1683233177909" TargetMode="External"/><Relationship Id="rId3083" Type="http://schemas.openxmlformats.org/officeDocument/2006/relationships/hyperlink" Target="https://maps.google.com/?q=16.4313211439151,-95.026541297740707" TargetMode="External"/><Relationship Id="rId3290" Type="http://schemas.openxmlformats.org/officeDocument/2006/relationships/hyperlink" Target="https://maps.google.com/?q=16.536511,-94.513158" TargetMode="External"/><Relationship Id="rId1728" Type="http://schemas.openxmlformats.org/officeDocument/2006/relationships/hyperlink" Target="https://maps.google.com/?q=16.789584,-96.784780999999995" TargetMode="External"/><Relationship Id="rId1935" Type="http://schemas.openxmlformats.org/officeDocument/2006/relationships/hyperlink" Target="https://maps.google.com/?q=17.027131,-96.077044000000001" TargetMode="External"/><Relationship Id="rId3150" Type="http://schemas.openxmlformats.org/officeDocument/2006/relationships/hyperlink" Target="https://maps.google.com/?q=16.442723695673,-95.021867948215402" TargetMode="External"/><Relationship Id="rId3010" Type="http://schemas.openxmlformats.org/officeDocument/2006/relationships/hyperlink" Target="https://maps.google.com/?q=16.424074333732,-95.029282591053303" TargetMode="External"/><Relationship Id="rId4" Type="http://schemas.openxmlformats.org/officeDocument/2006/relationships/hyperlink" Target="https://maps.google.com/?q=17.068498,-96.720205" TargetMode="External"/><Relationship Id="rId888" Type="http://schemas.openxmlformats.org/officeDocument/2006/relationships/hyperlink" Target="https://maps.google.com/?q=16.715392,-94.745997000000003" TargetMode="External"/><Relationship Id="rId2569" Type="http://schemas.openxmlformats.org/officeDocument/2006/relationships/hyperlink" Target="https://maps.google.com/?q=16.38749078516132,-96.838517496264529" TargetMode="External"/><Relationship Id="rId2776" Type="http://schemas.openxmlformats.org/officeDocument/2006/relationships/hyperlink" Target="https://maps.google.com/?q=18.0849672483601,-96.1689643263893" TargetMode="External"/><Relationship Id="rId2983" Type="http://schemas.openxmlformats.org/officeDocument/2006/relationships/hyperlink" Target="https://maps.google.com/?q=17.434176,-98.286268000000007" TargetMode="External"/><Relationship Id="rId748" Type="http://schemas.openxmlformats.org/officeDocument/2006/relationships/hyperlink" Target="https://maps.google.com/?q=16.816246916393,-95.119059294417994" TargetMode="External"/><Relationship Id="rId955" Type="http://schemas.openxmlformats.org/officeDocument/2006/relationships/hyperlink" Target="https://maps.google.com/?q=16.666131,%09-94.784557" TargetMode="External"/><Relationship Id="rId1378" Type="http://schemas.openxmlformats.org/officeDocument/2006/relationships/hyperlink" Target="https://maps.google.com/?q=16.78800406,-96.922007789999995" TargetMode="External"/><Relationship Id="rId1585" Type="http://schemas.openxmlformats.org/officeDocument/2006/relationships/hyperlink" Target="https://maps.google.com/?q=16.7899985,-96.899039770000002" TargetMode="External"/><Relationship Id="rId1792" Type="http://schemas.openxmlformats.org/officeDocument/2006/relationships/hyperlink" Target="https://maps.google.com/?q=15.773188,-96.138547000000003" TargetMode="External"/><Relationship Id="rId2429" Type="http://schemas.openxmlformats.org/officeDocument/2006/relationships/hyperlink" Target="https://maps.google.com/?q=16.383979662001483,-96.841753189182739" TargetMode="External"/><Relationship Id="rId2636" Type="http://schemas.openxmlformats.org/officeDocument/2006/relationships/hyperlink" Target="https://maps.google.com/?q=17.9862108295308,-96.100624588954901" TargetMode="External"/><Relationship Id="rId2843" Type="http://schemas.openxmlformats.org/officeDocument/2006/relationships/hyperlink" Target="https://maps.google.com/?q=17.0354275672368,-97.505364682209006" TargetMode="External"/><Relationship Id="rId84" Type="http://schemas.openxmlformats.org/officeDocument/2006/relationships/hyperlink" Target="https://maps.google.com/?q=17.007795697377,-96.890232067459095" TargetMode="External"/><Relationship Id="rId608" Type="http://schemas.openxmlformats.org/officeDocument/2006/relationships/hyperlink" Target="https://maps.google.com/?q=17.2734916864241,-98.278240682209002" TargetMode="External"/><Relationship Id="rId815" Type="http://schemas.openxmlformats.org/officeDocument/2006/relationships/hyperlink" Target="https://maps.google.com/?q=16.8842011697045,-95.050989379133298" TargetMode="External"/><Relationship Id="rId1238" Type="http://schemas.openxmlformats.org/officeDocument/2006/relationships/hyperlink" Target="https://maps.google.com/?q=16.77869338,-96.95354931" TargetMode="External"/><Relationship Id="rId1445" Type="http://schemas.openxmlformats.org/officeDocument/2006/relationships/hyperlink" Target="https://maps.google.com/?q=16.78880364,-96.904786770000001" TargetMode="External"/><Relationship Id="rId1652" Type="http://schemas.openxmlformats.org/officeDocument/2006/relationships/hyperlink" Target="https://maps.google.com/?q=17.332877,-97.873197000000005" TargetMode="External"/><Relationship Id="rId1305" Type="http://schemas.openxmlformats.org/officeDocument/2006/relationships/hyperlink" Target="https://maps.google.com/?q=16.78651613,-96.898853759999994" TargetMode="External"/><Relationship Id="rId2703" Type="http://schemas.openxmlformats.org/officeDocument/2006/relationships/hyperlink" Target="https://maps.google.com/?q=18.06022,-96.149632999999994" TargetMode="External"/><Relationship Id="rId2910" Type="http://schemas.openxmlformats.org/officeDocument/2006/relationships/hyperlink" Target="https://maps.google.com/?q=17.324248,-98.240551999999994" TargetMode="External"/><Relationship Id="rId1512" Type="http://schemas.openxmlformats.org/officeDocument/2006/relationships/hyperlink" Target="https://maps.google.com/?q=16.78927602,-96.907420060000007" TargetMode="External"/><Relationship Id="rId11" Type="http://schemas.openxmlformats.org/officeDocument/2006/relationships/hyperlink" Target="https://maps.google.com/?q=17.067991930285,-96.7292655526066" TargetMode="External"/><Relationship Id="rId398" Type="http://schemas.openxmlformats.org/officeDocument/2006/relationships/hyperlink" Target="https://maps.google.com/?q=16.4957357932244,-97.583526848462" TargetMode="External"/><Relationship Id="rId2079" Type="http://schemas.openxmlformats.org/officeDocument/2006/relationships/hyperlink" Target="https://maps.google.com/?q=16.564244,-96.731829000000005" TargetMode="External"/><Relationship Id="rId2286" Type="http://schemas.openxmlformats.org/officeDocument/2006/relationships/hyperlink" Target="https://maps.google.com/?q=16.433347,-95.021687" TargetMode="External"/><Relationship Id="rId2493" Type="http://schemas.openxmlformats.org/officeDocument/2006/relationships/hyperlink" Target="https://maps.google.com/?q=16.385237268150817,-96.837865572532237" TargetMode="External"/><Relationship Id="rId258" Type="http://schemas.openxmlformats.org/officeDocument/2006/relationships/hyperlink" Target="https://maps.google.com/?q=16.9705500824829,-97.031382376651806" TargetMode="External"/><Relationship Id="rId465" Type="http://schemas.openxmlformats.org/officeDocument/2006/relationships/hyperlink" Target="https://maps.google.com/?q=17.421542,-96.930878000000007" TargetMode="External"/><Relationship Id="rId672" Type="http://schemas.openxmlformats.org/officeDocument/2006/relationships/hyperlink" Target="https://maps.google.com/?q=17.2564849331916,-98.263273711252594" TargetMode="External"/><Relationship Id="rId1095" Type="http://schemas.openxmlformats.org/officeDocument/2006/relationships/hyperlink" Target="https://maps.google.com/?q=17.381055,-96.163217000000003" TargetMode="External"/><Relationship Id="rId2146" Type="http://schemas.openxmlformats.org/officeDocument/2006/relationships/hyperlink" Target="https://maps.google.com/?q=17.063778,-96.729971000000006" TargetMode="External"/><Relationship Id="rId2353" Type="http://schemas.openxmlformats.org/officeDocument/2006/relationships/hyperlink" Target="https://maps.google.com/?q=16.950706,-96.750504000000006" TargetMode="External"/><Relationship Id="rId2560" Type="http://schemas.openxmlformats.org/officeDocument/2006/relationships/hyperlink" Target="https://maps.google.com/?q=16.38723348286428,-96.837396685963114" TargetMode="External"/><Relationship Id="rId118" Type="http://schemas.openxmlformats.org/officeDocument/2006/relationships/hyperlink" Target="https://maps.google.com/?q=16.9548798104827,-96.900160174851393" TargetMode="External"/><Relationship Id="rId325" Type="http://schemas.openxmlformats.org/officeDocument/2006/relationships/hyperlink" Target="https://maps.google.com/?q=16.5147419298902,-97.781732947256103" TargetMode="External"/><Relationship Id="rId532" Type="http://schemas.openxmlformats.org/officeDocument/2006/relationships/hyperlink" Target="https://maps.google.com/?q=17.1819836275857,-97.710391953373005" TargetMode="External"/><Relationship Id="rId1162" Type="http://schemas.openxmlformats.org/officeDocument/2006/relationships/hyperlink" Target="https://maps.google.com/?q=17.382226,-96.161006999999998" TargetMode="External"/><Relationship Id="rId2006" Type="http://schemas.openxmlformats.org/officeDocument/2006/relationships/hyperlink" Target="https://maps.google.com/?q=17.724615,-97.323898" TargetMode="External"/><Relationship Id="rId2213" Type="http://schemas.openxmlformats.org/officeDocument/2006/relationships/hyperlink" Target="https://maps.google.com/?q=17.458341,-97.225285" TargetMode="External"/><Relationship Id="rId2420" Type="http://schemas.openxmlformats.org/officeDocument/2006/relationships/hyperlink" Target="https://maps.google.com/?q=16.383774588158236,-96.841442801020591" TargetMode="External"/><Relationship Id="rId1022" Type="http://schemas.openxmlformats.org/officeDocument/2006/relationships/hyperlink" Target="https://maps.google.com/?q=17.380296,-96.162762999999998" TargetMode="External"/><Relationship Id="rId1979" Type="http://schemas.openxmlformats.org/officeDocument/2006/relationships/hyperlink" Target="https://maps.google.com/?q=18.081169,-96.118475000000004" TargetMode="External"/><Relationship Id="rId3194" Type="http://schemas.openxmlformats.org/officeDocument/2006/relationships/hyperlink" Target="https://maps.google.com/?q=16.328751,-96.596529000000004" TargetMode="External"/><Relationship Id="rId1839" Type="http://schemas.openxmlformats.org/officeDocument/2006/relationships/hyperlink" Target="https://maps.google.com/?q=17.0925221,-96.7391112" TargetMode="External"/><Relationship Id="rId3054" Type="http://schemas.openxmlformats.org/officeDocument/2006/relationships/hyperlink" Target="https://maps.google.com/?q=16.428145632916,-95.008559027526104" TargetMode="External"/><Relationship Id="rId182" Type="http://schemas.openxmlformats.org/officeDocument/2006/relationships/hyperlink" Target="https://maps.google.com/?q=16.7829005166952,-96.585561586211298" TargetMode="External"/><Relationship Id="rId1906" Type="http://schemas.openxmlformats.org/officeDocument/2006/relationships/hyperlink" Target="https://maps.google.com/?q=17.063778,-96.729971000000006" TargetMode="External"/><Relationship Id="rId3261" Type="http://schemas.openxmlformats.org/officeDocument/2006/relationships/hyperlink" Target="https://maps.google.com/?q=15.821262,-96.271493" TargetMode="External"/><Relationship Id="rId2070" Type="http://schemas.openxmlformats.org/officeDocument/2006/relationships/hyperlink" Target="https://maps.google.com/?q=18.13222,-97.070751000000001" TargetMode="External"/><Relationship Id="rId3121" Type="http://schemas.openxmlformats.org/officeDocument/2006/relationships/hyperlink" Target="https://maps.google.com/?q=16.43877845,-95.033947810000001" TargetMode="External"/><Relationship Id="rId999" Type="http://schemas.openxmlformats.org/officeDocument/2006/relationships/hyperlink" Target="https://maps.google.com/?q=17.380004,-96.162789000000004" TargetMode="External"/><Relationship Id="rId2887" Type="http://schemas.openxmlformats.org/officeDocument/2006/relationships/hyperlink" Target="https://maps.google.com/?q=17.319764,-98.240077999999997" TargetMode="External"/><Relationship Id="rId859" Type="http://schemas.openxmlformats.org/officeDocument/2006/relationships/hyperlink" Target="https://maps.google.com/?q=16.714115,-94.748261999999997" TargetMode="External"/><Relationship Id="rId1489" Type="http://schemas.openxmlformats.org/officeDocument/2006/relationships/hyperlink" Target="https://maps.google.com/?q=16.78915871,-96.892442819999999" TargetMode="External"/><Relationship Id="rId1696" Type="http://schemas.openxmlformats.org/officeDocument/2006/relationships/hyperlink" Target="https://maps.google.com/?q=17.282465,-97.870735999999994" TargetMode="External"/><Relationship Id="rId1349" Type="http://schemas.openxmlformats.org/officeDocument/2006/relationships/hyperlink" Target="https://maps.google.com/?q=16.78748579,-96.899997560000003" TargetMode="External"/><Relationship Id="rId2747" Type="http://schemas.openxmlformats.org/officeDocument/2006/relationships/hyperlink" Target="https://maps.google.com/?q=18.0785854168344,-96.168830699405703" TargetMode="External"/><Relationship Id="rId2954" Type="http://schemas.openxmlformats.org/officeDocument/2006/relationships/hyperlink" Target="https://maps.google.com/?q=17.429498,-98.291195000000002" TargetMode="External"/><Relationship Id="rId719" Type="http://schemas.openxmlformats.org/officeDocument/2006/relationships/hyperlink" Target="https://maps.google.com/?q=17.2604717220026,-98.260857658895503" TargetMode="External"/><Relationship Id="rId926" Type="http://schemas.openxmlformats.org/officeDocument/2006/relationships/hyperlink" Target="https://maps.google.com/?q=16.6743664514698,-94.775484251045299" TargetMode="External"/><Relationship Id="rId1556" Type="http://schemas.openxmlformats.org/officeDocument/2006/relationships/hyperlink" Target="https://maps.google.com/?q=16.78973887,-96.899069299999994" TargetMode="External"/><Relationship Id="rId1763" Type="http://schemas.openxmlformats.org/officeDocument/2006/relationships/hyperlink" Target="https://maps.google.com/?q=17.310323,-96.911681999999999" TargetMode="External"/><Relationship Id="rId1970" Type="http://schemas.openxmlformats.org/officeDocument/2006/relationships/hyperlink" Target="https://maps.google.com/?q=17.335316,-98.012051" TargetMode="External"/><Relationship Id="rId2607" Type="http://schemas.openxmlformats.org/officeDocument/2006/relationships/hyperlink" Target="https://maps.google.com/?q=16.398524010964955,-96.841238156733056" TargetMode="External"/><Relationship Id="rId2814" Type="http://schemas.openxmlformats.org/officeDocument/2006/relationships/hyperlink" Target="https://maps.google.com/?q=17.0126037433627,-97.500992953372901" TargetMode="External"/><Relationship Id="rId55" Type="http://schemas.openxmlformats.org/officeDocument/2006/relationships/hyperlink" Target="https://maps.google.com/?q=16.9797960687373,-96.891874597553297" TargetMode="External"/><Relationship Id="rId1209" Type="http://schemas.openxmlformats.org/officeDocument/2006/relationships/hyperlink" Target="https://maps.google.com/?q=17.104329,%20-96.777893" TargetMode="External"/><Relationship Id="rId1416" Type="http://schemas.openxmlformats.org/officeDocument/2006/relationships/hyperlink" Target="https://maps.google.com/?q=16.78856826,-96.915457919999994" TargetMode="External"/><Relationship Id="rId1623" Type="http://schemas.openxmlformats.org/officeDocument/2006/relationships/hyperlink" Target="https://maps.google.com/?q=17.254781,-97.812213" TargetMode="External"/><Relationship Id="rId1830" Type="http://schemas.openxmlformats.org/officeDocument/2006/relationships/hyperlink" Target="https://maps.google.com/?q=17.232084,-96.811936" TargetMode="External"/><Relationship Id="rId2397" Type="http://schemas.openxmlformats.org/officeDocument/2006/relationships/hyperlink" Target="https://maps.google.com/?q=16.38290616020965,-96.836896894281679" TargetMode="External"/><Relationship Id="rId369" Type="http://schemas.openxmlformats.org/officeDocument/2006/relationships/hyperlink" Target="https://maps.google.com/?q=16.5004782765136,-97.781301015695604" TargetMode="External"/><Relationship Id="rId576" Type="http://schemas.openxmlformats.org/officeDocument/2006/relationships/hyperlink" Target="https://maps.google.com/?q=17.1782662839762,-98.195561999999995" TargetMode="External"/><Relationship Id="rId783" Type="http://schemas.openxmlformats.org/officeDocument/2006/relationships/hyperlink" Target="https://maps.google.com/?q=16.8267659600109,-95.112966874834299" TargetMode="External"/><Relationship Id="rId990" Type="http://schemas.openxmlformats.org/officeDocument/2006/relationships/hyperlink" Target="https://maps.google.com/?q=17.379851,-96.161608000000001" TargetMode="External"/><Relationship Id="rId2257" Type="http://schemas.openxmlformats.org/officeDocument/2006/relationships/hyperlink" Target="https://maps.google.com/?q=16.500512,-96.106790000000004" TargetMode="External"/><Relationship Id="rId2464" Type="http://schemas.openxmlformats.org/officeDocument/2006/relationships/hyperlink" Target="https://maps.google.com/?q=16.384563523073364,-96.844042032981235" TargetMode="External"/><Relationship Id="rId2671" Type="http://schemas.openxmlformats.org/officeDocument/2006/relationships/hyperlink" Target="https://maps.google.com/?q=18.0519826014108,-96.139650918402694" TargetMode="External"/><Relationship Id="rId229" Type="http://schemas.openxmlformats.org/officeDocument/2006/relationships/hyperlink" Target="https://maps.google.com/?q=16.9792730371239,-97.055436980000096" TargetMode="External"/><Relationship Id="rId436" Type="http://schemas.openxmlformats.org/officeDocument/2006/relationships/hyperlink" Target="https://maps.google.com/?q=17.40976614,-97.013496529999998" TargetMode="External"/><Relationship Id="rId643" Type="http://schemas.openxmlformats.org/officeDocument/2006/relationships/hyperlink" Target="https://maps.google.com/?q=17.21918353,-98.192030340000002" TargetMode="External"/><Relationship Id="rId1066" Type="http://schemas.openxmlformats.org/officeDocument/2006/relationships/hyperlink" Target="https://maps.google.com/?q=17.380755,-96.162820999999994" TargetMode="External"/><Relationship Id="rId1273" Type="http://schemas.openxmlformats.org/officeDocument/2006/relationships/hyperlink" Target="https://maps.google.com/?q=16.78208887,-96.947034939999995" TargetMode="External"/><Relationship Id="rId1480" Type="http://schemas.openxmlformats.org/officeDocument/2006/relationships/hyperlink" Target="https://maps.google.com/?q=16.789101,-96.909879759999995" TargetMode="External"/><Relationship Id="rId2117" Type="http://schemas.openxmlformats.org/officeDocument/2006/relationships/hyperlink" Target="https://maps.google.com/?q=17.207464,-96.801094000000006" TargetMode="External"/><Relationship Id="rId2324" Type="http://schemas.openxmlformats.org/officeDocument/2006/relationships/hyperlink" Target="https://maps.google.com/?q=17.026216,-97.928115000000005" TargetMode="External"/><Relationship Id="rId850" Type="http://schemas.openxmlformats.org/officeDocument/2006/relationships/hyperlink" Target="https://maps.google.com/?q=16.713785,-94.750106000000002" TargetMode="External"/><Relationship Id="rId1133" Type="http://schemas.openxmlformats.org/officeDocument/2006/relationships/hyperlink" Target="https://maps.google.com/?q=17.381585,-96.161824999999993" TargetMode="External"/><Relationship Id="rId2531" Type="http://schemas.openxmlformats.org/officeDocument/2006/relationships/hyperlink" Target="https://maps.google.com/?q=16.38612154205906,-96.83868994469762" TargetMode="External"/><Relationship Id="rId503" Type="http://schemas.openxmlformats.org/officeDocument/2006/relationships/hyperlink" Target="https://maps.google.com/?q=17.431351,-96.933856000000006" TargetMode="External"/><Relationship Id="rId710" Type="http://schemas.openxmlformats.org/officeDocument/2006/relationships/hyperlink" Target="https://maps.google.com/?q=17.2599865991504,-98.263110976686505" TargetMode="External"/><Relationship Id="rId1340" Type="http://schemas.openxmlformats.org/officeDocument/2006/relationships/hyperlink" Target="https://maps.google.com/?q=16.78732878,-96.900291899999999" TargetMode="External"/><Relationship Id="rId3098" Type="http://schemas.openxmlformats.org/officeDocument/2006/relationships/hyperlink" Target="https://maps.google.com/?q=16.4357355795251,-95.025420777597901" TargetMode="External"/><Relationship Id="rId1200" Type="http://schemas.openxmlformats.org/officeDocument/2006/relationships/hyperlink" Target="https://maps.google.com/?q=17.103715,%20-96.775335" TargetMode="External"/><Relationship Id="rId3165" Type="http://schemas.openxmlformats.org/officeDocument/2006/relationships/hyperlink" Target="https://maps.google.com/?q=16.4490552467712,-95.018039804722605" TargetMode="External"/><Relationship Id="rId293" Type="http://schemas.openxmlformats.org/officeDocument/2006/relationships/hyperlink" Target="https://maps.google.com/?q=16.6144812877178,-97.789282813491894" TargetMode="External"/><Relationship Id="rId2181" Type="http://schemas.openxmlformats.org/officeDocument/2006/relationships/hyperlink" Target="https://maps.google.com/?q=17.33873,-96.152553999999995" TargetMode="External"/><Relationship Id="rId3025" Type="http://schemas.openxmlformats.org/officeDocument/2006/relationships/hyperlink" Target="https://maps.google.com/?q=16.4256529861936,-95.015062845163897" TargetMode="External"/><Relationship Id="rId3232" Type="http://schemas.openxmlformats.org/officeDocument/2006/relationships/hyperlink" Target="https://maps.google.com/?q=16.950706,-96.750504000000006" TargetMode="External"/><Relationship Id="rId153" Type="http://schemas.openxmlformats.org/officeDocument/2006/relationships/hyperlink" Target="https://maps.google.com/?q=16.7808939290578,-96.583687040020607" TargetMode="External"/><Relationship Id="rId360" Type="http://schemas.openxmlformats.org/officeDocument/2006/relationships/hyperlink" Target="https://maps.google.com/?q=16.4998362885027,-97.782562069940496" TargetMode="External"/><Relationship Id="rId2041" Type="http://schemas.openxmlformats.org/officeDocument/2006/relationships/hyperlink" Target="https://maps.google.com/?q=15.746144,-96.465182999999996" TargetMode="External"/><Relationship Id="rId220" Type="http://schemas.openxmlformats.org/officeDocument/2006/relationships/hyperlink" Target="https://maps.google.com/?q=16.7862535680798,-96.579020123838404" TargetMode="External"/><Relationship Id="rId2998" Type="http://schemas.openxmlformats.org/officeDocument/2006/relationships/hyperlink" Target="https://maps.google.com/?q=16.4219005614593,-95.0276204642294" TargetMode="External"/><Relationship Id="rId2858" Type="http://schemas.openxmlformats.org/officeDocument/2006/relationships/hyperlink" Target="https://maps.google.com/?q=17.0100460027088,-97.466656682209106" TargetMode="External"/><Relationship Id="rId99" Type="http://schemas.openxmlformats.org/officeDocument/2006/relationships/hyperlink" Target="https://maps.google.com/?q=17.0121548744209,-96.890191757221601" TargetMode="External"/><Relationship Id="rId1667" Type="http://schemas.openxmlformats.org/officeDocument/2006/relationships/hyperlink" Target="https://maps.google.com/?q=17.25588493,-97.890234480985598" TargetMode="External"/><Relationship Id="rId1874" Type="http://schemas.openxmlformats.org/officeDocument/2006/relationships/hyperlink" Target="https://maps.google.com/?q=17.026216,-97.928115000000005" TargetMode="External"/><Relationship Id="rId2718" Type="http://schemas.openxmlformats.org/officeDocument/2006/relationships/hyperlink" Target="https://maps.google.com/?q=18.062114,-96.139865" TargetMode="External"/><Relationship Id="rId2925" Type="http://schemas.openxmlformats.org/officeDocument/2006/relationships/hyperlink" Target="https://maps.google.com/?q=17.337049,-98.170421000000005" TargetMode="External"/><Relationship Id="rId1527" Type="http://schemas.openxmlformats.org/officeDocument/2006/relationships/hyperlink" Target="https://maps.google.com/?q=16.78946884,-96.906560709999994" TargetMode="External"/><Relationship Id="rId1734" Type="http://schemas.openxmlformats.org/officeDocument/2006/relationships/hyperlink" Target="https://maps.google.com/?q=16.327527,-96.586449999999999" TargetMode="External"/><Relationship Id="rId1941" Type="http://schemas.openxmlformats.org/officeDocument/2006/relationships/hyperlink" Target="https://maps.google.com/?q=17.33873,-96.152553999999995" TargetMode="External"/><Relationship Id="rId26" Type="http://schemas.openxmlformats.org/officeDocument/2006/relationships/hyperlink" Target="https://maps.google.com/?q=15.98742386,-95.674869330000007" TargetMode="External"/><Relationship Id="rId1801" Type="http://schemas.openxmlformats.org/officeDocument/2006/relationships/hyperlink" Target="https://maps.google.com/?q=15.7732764,-96.137384400000002" TargetMode="External"/><Relationship Id="rId687" Type="http://schemas.openxmlformats.org/officeDocument/2006/relationships/hyperlink" Target="https://maps.google.com/?q=17.2577795990734,-98.261318294477505" TargetMode="External"/><Relationship Id="rId2368" Type="http://schemas.openxmlformats.org/officeDocument/2006/relationships/hyperlink" Target="https://maps.google.com/?q=17.801687,-96.959688" TargetMode="External"/><Relationship Id="rId894" Type="http://schemas.openxmlformats.org/officeDocument/2006/relationships/hyperlink" Target="https://maps.google.com/?q=16.7156138,-94.745204299999997" TargetMode="External"/><Relationship Id="rId1177" Type="http://schemas.openxmlformats.org/officeDocument/2006/relationships/hyperlink" Target="https://maps.google.com/?q=17.383652,-96.161767999999995" TargetMode="External"/><Relationship Id="rId2575" Type="http://schemas.openxmlformats.org/officeDocument/2006/relationships/hyperlink" Target="https://maps.google.com/?q=16.3875932769149,-96.837604774668762" TargetMode="External"/><Relationship Id="rId2782" Type="http://schemas.openxmlformats.org/officeDocument/2006/relationships/hyperlink" Target="https://maps.google.com/?q=18.0863544038097,-96.170564822387405" TargetMode="External"/><Relationship Id="rId547" Type="http://schemas.openxmlformats.org/officeDocument/2006/relationships/hyperlink" Target="https://maps.google.com/?q=17.19228,-97.717954000000006" TargetMode="External"/><Relationship Id="rId754" Type="http://schemas.openxmlformats.org/officeDocument/2006/relationships/hyperlink" Target="https://maps.google.com/?q=16.8178417885149,-95.119570831109598" TargetMode="External"/><Relationship Id="rId961" Type="http://schemas.openxmlformats.org/officeDocument/2006/relationships/hyperlink" Target="https://maps.google.com/?q=17.378485,-96.160409999999999" TargetMode="External"/><Relationship Id="rId1384" Type="http://schemas.openxmlformats.org/officeDocument/2006/relationships/hyperlink" Target="https://maps.google.com/?q=16.78805266,-96.900257580000002" TargetMode="External"/><Relationship Id="rId1591" Type="http://schemas.openxmlformats.org/officeDocument/2006/relationships/hyperlink" Target="https://maps.google.com/?q=16.79010659,-96.89850131" TargetMode="External"/><Relationship Id="rId2228" Type="http://schemas.openxmlformats.org/officeDocument/2006/relationships/hyperlink" Target="https://maps.google.com/?q=16.519807,-96.983885000000001" TargetMode="External"/><Relationship Id="rId2435" Type="http://schemas.openxmlformats.org/officeDocument/2006/relationships/hyperlink" Target="https://maps.google.com/?q=16.384085949021223,-96.842937973632857" TargetMode="External"/><Relationship Id="rId2642" Type="http://schemas.openxmlformats.org/officeDocument/2006/relationships/hyperlink" Target="https://maps.google.com/?q=17.9918838813958,-96.101870667768793" TargetMode="External"/><Relationship Id="rId90" Type="http://schemas.openxmlformats.org/officeDocument/2006/relationships/hyperlink" Target="https://maps.google.com/?q=17.0099799108893,-96.890314215937906" TargetMode="External"/><Relationship Id="rId407" Type="http://schemas.openxmlformats.org/officeDocument/2006/relationships/hyperlink" Target="https://maps.google.com/?q=17.400854,-96.927927999999994" TargetMode="External"/><Relationship Id="rId614" Type="http://schemas.openxmlformats.org/officeDocument/2006/relationships/hyperlink" Target="https://maps.google.com/?q=17.2744644414905,-98.272238000000002" TargetMode="External"/><Relationship Id="rId821" Type="http://schemas.openxmlformats.org/officeDocument/2006/relationships/hyperlink" Target="https://maps.google.com/?q=16.7121237988792,-94.745288909147" TargetMode="External"/><Relationship Id="rId1037" Type="http://schemas.openxmlformats.org/officeDocument/2006/relationships/hyperlink" Target="https://maps.google.com/?q=17.380422,-96.163747000000001" TargetMode="External"/><Relationship Id="rId1244" Type="http://schemas.openxmlformats.org/officeDocument/2006/relationships/hyperlink" Target="https://maps.google.com/?q=16.77997187,-96.951830939999994" TargetMode="External"/><Relationship Id="rId1451" Type="http://schemas.openxmlformats.org/officeDocument/2006/relationships/hyperlink" Target="https://maps.google.com/?q=16.78886635,-96.916975789999995" TargetMode="External"/><Relationship Id="rId2502" Type="http://schemas.openxmlformats.org/officeDocument/2006/relationships/hyperlink" Target="https://maps.google.com/?q=16.38538409894833,-96.838574828538157" TargetMode="External"/><Relationship Id="rId1104" Type="http://schemas.openxmlformats.org/officeDocument/2006/relationships/hyperlink" Target="https://maps.google.com/?q=17.381149,-96.161169999999998" TargetMode="External"/><Relationship Id="rId1311" Type="http://schemas.openxmlformats.org/officeDocument/2006/relationships/hyperlink" Target="https://maps.google.com/?q=16.78667885,-96.90958827" TargetMode="External"/><Relationship Id="rId3069" Type="http://schemas.openxmlformats.org/officeDocument/2006/relationships/hyperlink" Target="https://maps.google.com/?q=16.4296373265748,-95.027317461976196" TargetMode="External"/><Relationship Id="rId3276" Type="http://schemas.openxmlformats.org/officeDocument/2006/relationships/hyperlink" Target="https://maps.google.com/?q=18.120407,-97.083559" TargetMode="External"/><Relationship Id="rId197" Type="http://schemas.openxmlformats.org/officeDocument/2006/relationships/hyperlink" Target="https://maps.google.com/?q=16.7838157064818,-96.583750752149697" TargetMode="External"/><Relationship Id="rId2085" Type="http://schemas.openxmlformats.org/officeDocument/2006/relationships/hyperlink" Target="https://maps.google.com/?q=17.027131,-96.077044000000001" TargetMode="External"/><Relationship Id="rId2292" Type="http://schemas.openxmlformats.org/officeDocument/2006/relationships/hyperlink" Target="https://maps.google.com/?q=16.950706,-96.750504000000006" TargetMode="External"/><Relationship Id="rId3136" Type="http://schemas.openxmlformats.org/officeDocument/2006/relationships/hyperlink" Target="https://maps.google.com/?q=16.4399093644103,-95.007817164794403" TargetMode="External"/><Relationship Id="rId264" Type="http://schemas.openxmlformats.org/officeDocument/2006/relationships/hyperlink" Target="https://maps.google.com/?q=17.1189610589429,-96.974171423278705" TargetMode="External"/><Relationship Id="rId471" Type="http://schemas.openxmlformats.org/officeDocument/2006/relationships/hyperlink" Target="https://maps.google.com/?q=17.42295249,-96.932157989999993" TargetMode="External"/><Relationship Id="rId2152" Type="http://schemas.openxmlformats.org/officeDocument/2006/relationships/hyperlink" Target="https://maps.google.com/?q=17.361766,-95.922253999999995" TargetMode="External"/><Relationship Id="rId124" Type="http://schemas.openxmlformats.org/officeDocument/2006/relationships/hyperlink" Target="https://maps.google.com/?q=16.7778601796203,-96.584724290841706" TargetMode="External"/><Relationship Id="rId3203" Type="http://schemas.openxmlformats.org/officeDocument/2006/relationships/hyperlink" Target="https://maps.google.com/?q=16.95558,-96.479206000000005" TargetMode="External"/><Relationship Id="rId331" Type="http://schemas.openxmlformats.org/officeDocument/2006/relationships/hyperlink" Target="https://maps.google.com/?q=16.5172451303164,-97.779269365928997" TargetMode="External"/><Relationship Id="rId2012" Type="http://schemas.openxmlformats.org/officeDocument/2006/relationships/hyperlink" Target="https://maps.google.com/?q=16.237076,-97.292351999999994" TargetMode="External"/><Relationship Id="rId2969" Type="http://schemas.openxmlformats.org/officeDocument/2006/relationships/hyperlink" Target="https://maps.google.com/?q=17.431533,-98.293181000000004" TargetMode="External"/><Relationship Id="rId1778" Type="http://schemas.openxmlformats.org/officeDocument/2006/relationships/hyperlink" Target="https://maps.google.com/?q=15.773034,-96.140177100000002" TargetMode="External"/><Relationship Id="rId1985" Type="http://schemas.openxmlformats.org/officeDocument/2006/relationships/hyperlink" Target="https://maps.google.com/?q=16.332014,-95.231966" TargetMode="External"/><Relationship Id="rId2829" Type="http://schemas.openxmlformats.org/officeDocument/2006/relationships/hyperlink" Target="https://maps.google.com/?q=17.01616,-97.498315000000005" TargetMode="External"/><Relationship Id="rId1638" Type="http://schemas.openxmlformats.org/officeDocument/2006/relationships/hyperlink" Target="https://maps.google.com/?q=17.24835241,-97.793779709999995" TargetMode="External"/><Relationship Id="rId1845" Type="http://schemas.openxmlformats.org/officeDocument/2006/relationships/hyperlink" Target="https://maps.google.com/?q=17.821068,-97.732741000000004" TargetMode="External"/><Relationship Id="rId3060" Type="http://schemas.openxmlformats.org/officeDocument/2006/relationships/hyperlink" Target="https://maps.google.com/?q=16.4286286515866,-95.012117680535297" TargetMode="External"/><Relationship Id="rId1705" Type="http://schemas.openxmlformats.org/officeDocument/2006/relationships/hyperlink" Target="https://maps.google.com/?q=17.3131761907465,-97.945954557043095" TargetMode="External"/><Relationship Id="rId1912" Type="http://schemas.openxmlformats.org/officeDocument/2006/relationships/hyperlink" Target="https://maps.google.com/?q=17.361766,-95.922253999999995" TargetMode="External"/><Relationship Id="rId798" Type="http://schemas.openxmlformats.org/officeDocument/2006/relationships/hyperlink" Target="https://maps.google.com/?q=16.8937386227658,-95.040068463788899" TargetMode="External"/><Relationship Id="rId2479" Type="http://schemas.openxmlformats.org/officeDocument/2006/relationships/hyperlink" Target="https://maps.google.com/?q=16.384884186766623,-96.844489520104588" TargetMode="External"/><Relationship Id="rId2686" Type="http://schemas.openxmlformats.org/officeDocument/2006/relationships/hyperlink" Target="https://maps.google.com/?q=18.0528219317826,-96.147886495700902" TargetMode="External"/><Relationship Id="rId2893" Type="http://schemas.openxmlformats.org/officeDocument/2006/relationships/hyperlink" Target="https://maps.google.com/?q=17.320314,-98.239339000000001" TargetMode="External"/><Relationship Id="rId658" Type="http://schemas.openxmlformats.org/officeDocument/2006/relationships/hyperlink" Target="https://maps.google.com/?q=17.22211599,-98.193603170000003" TargetMode="External"/><Relationship Id="rId865" Type="http://schemas.openxmlformats.org/officeDocument/2006/relationships/hyperlink" Target="https://maps.google.com/?q=16.714427,-94.747215999999995" TargetMode="External"/><Relationship Id="rId1288" Type="http://schemas.openxmlformats.org/officeDocument/2006/relationships/hyperlink" Target="https://maps.google.com/?q=16.7837999,-96.933411050000004" TargetMode="External"/><Relationship Id="rId1495" Type="http://schemas.openxmlformats.org/officeDocument/2006/relationships/hyperlink" Target="https://maps.google.com/?q=16.78918813,-96.897598720000005" TargetMode="External"/><Relationship Id="rId2339" Type="http://schemas.openxmlformats.org/officeDocument/2006/relationships/hyperlink" Target="https://maps.google.com/?q=18.081169,-96.118475000000004" TargetMode="External"/><Relationship Id="rId2546" Type="http://schemas.openxmlformats.org/officeDocument/2006/relationships/hyperlink" Target="https://maps.google.com/?q=16.38676661564524,-96.840445208857119" TargetMode="External"/><Relationship Id="rId2753" Type="http://schemas.openxmlformats.org/officeDocument/2006/relationships/hyperlink" Target="https://maps.google.com/?q=18.0818155863722,-96.168006673610506" TargetMode="External"/><Relationship Id="rId2960" Type="http://schemas.openxmlformats.org/officeDocument/2006/relationships/hyperlink" Target="https://maps.google.com/?q=17.431003,-98.291561999999999" TargetMode="External"/><Relationship Id="rId518" Type="http://schemas.openxmlformats.org/officeDocument/2006/relationships/hyperlink" Target="https://maps.google.com/?q=17.1606574398945,-97.743922682209003" TargetMode="External"/><Relationship Id="rId725" Type="http://schemas.openxmlformats.org/officeDocument/2006/relationships/hyperlink" Target="https://maps.google.com/?q=16.8882666480274,-95.030040410566798" TargetMode="External"/><Relationship Id="rId932" Type="http://schemas.openxmlformats.org/officeDocument/2006/relationships/hyperlink" Target="https://maps.google.com/?q=16.6751295131886,-94.775947425183205" TargetMode="External"/><Relationship Id="rId1148" Type="http://schemas.openxmlformats.org/officeDocument/2006/relationships/hyperlink" Target="https://maps.google.com/?q=17.381927,-96.160075000000006" TargetMode="External"/><Relationship Id="rId1355" Type="http://schemas.openxmlformats.org/officeDocument/2006/relationships/hyperlink" Target="https://maps.google.com/?q=16.7876693,-96.896838630000005" TargetMode="External"/><Relationship Id="rId1562" Type="http://schemas.openxmlformats.org/officeDocument/2006/relationships/hyperlink" Target="https://maps.google.com/?q=16.78978742,-96.905279809999996" TargetMode="External"/><Relationship Id="rId2406" Type="http://schemas.openxmlformats.org/officeDocument/2006/relationships/hyperlink" Target="https://maps.google.com/?q=16.383192936318782,-96.841803696310322" TargetMode="External"/><Relationship Id="rId2613" Type="http://schemas.openxmlformats.org/officeDocument/2006/relationships/hyperlink" Target="https://maps.google.com/?q=18.0897258275091,-96.104836793281393" TargetMode="External"/><Relationship Id="rId1008" Type="http://schemas.openxmlformats.org/officeDocument/2006/relationships/hyperlink" Target="https://maps.google.com/?q=17.380096,-96.160253999999995" TargetMode="External"/><Relationship Id="rId1215" Type="http://schemas.openxmlformats.org/officeDocument/2006/relationships/hyperlink" Target="https://maps.google.com/?q=17.09971154,-96.771082979" TargetMode="External"/><Relationship Id="rId1422" Type="http://schemas.openxmlformats.org/officeDocument/2006/relationships/hyperlink" Target="https://maps.google.com/?q=16.78861386,-96.913005229999996" TargetMode="External"/><Relationship Id="rId2820" Type="http://schemas.openxmlformats.org/officeDocument/2006/relationships/hyperlink" Target="https://maps.google.com/?q=17.0145261831219,-97.500801411045103" TargetMode="External"/><Relationship Id="rId61" Type="http://schemas.openxmlformats.org/officeDocument/2006/relationships/hyperlink" Target="https://maps.google.com/?q=16.9819559162534,-96.890379282820703" TargetMode="External"/><Relationship Id="rId2196" Type="http://schemas.openxmlformats.org/officeDocument/2006/relationships/hyperlink" Target="https://maps.google.com/?q=16.433347,-95.021687" TargetMode="External"/><Relationship Id="rId168" Type="http://schemas.openxmlformats.org/officeDocument/2006/relationships/hyperlink" Target="https://maps.google.com/?q=16.7822163879533,-96.579046512844101" TargetMode="External"/><Relationship Id="rId3247" Type="http://schemas.openxmlformats.org/officeDocument/2006/relationships/hyperlink" Target="https://maps.google.com/?q=17.801687,-96.959688" TargetMode="External"/><Relationship Id="rId375" Type="http://schemas.openxmlformats.org/officeDocument/2006/relationships/hyperlink" Target="https://maps.google.com/?q=16.4862577,-97.580793999999997" TargetMode="External"/><Relationship Id="rId582" Type="http://schemas.openxmlformats.org/officeDocument/2006/relationships/hyperlink" Target="https://maps.google.com/?q=17.1814638464673,-98.197490000000002" TargetMode="External"/><Relationship Id="rId2056" Type="http://schemas.openxmlformats.org/officeDocument/2006/relationships/hyperlink" Target="https://maps.google.com/?q=17.063778,-96.729971000000006" TargetMode="External"/><Relationship Id="rId2263" Type="http://schemas.openxmlformats.org/officeDocument/2006/relationships/hyperlink" Target="https://maps.google.com/?q=16.95558,-96.479206000000005" TargetMode="External"/><Relationship Id="rId2470" Type="http://schemas.openxmlformats.org/officeDocument/2006/relationships/hyperlink" Target="https://maps.google.com/?q=16.384681934826492,-96.845051808868362" TargetMode="External"/><Relationship Id="rId3107" Type="http://schemas.openxmlformats.org/officeDocument/2006/relationships/hyperlink" Target="https://maps.google.com/?q=16.43717443,-95.03318797" TargetMode="External"/><Relationship Id="rId235" Type="http://schemas.openxmlformats.org/officeDocument/2006/relationships/hyperlink" Target="https://maps.google.com/?q=17.1053109591611,-96.963686747850403" TargetMode="External"/><Relationship Id="rId442" Type="http://schemas.openxmlformats.org/officeDocument/2006/relationships/hyperlink" Target="https://maps.google.com/?q=17.41470248,-97.013561749999994" TargetMode="External"/><Relationship Id="rId1072" Type="http://schemas.openxmlformats.org/officeDocument/2006/relationships/hyperlink" Target="https://maps.google.com/?q=17.380845,-96.161711999999994" TargetMode="External"/><Relationship Id="rId2123" Type="http://schemas.openxmlformats.org/officeDocument/2006/relationships/hyperlink" Target="https://maps.google.com/?q=17.458341,-97.225285" TargetMode="External"/><Relationship Id="rId2330" Type="http://schemas.openxmlformats.org/officeDocument/2006/relationships/hyperlink" Target="https://maps.google.com/?q=17.335316,-98.012051" TargetMode="External"/><Relationship Id="rId302" Type="http://schemas.openxmlformats.org/officeDocument/2006/relationships/hyperlink" Target="https://maps.google.com/?q=16.6163582533914,-97.789544766864793" TargetMode="External"/><Relationship Id="rId1889" Type="http://schemas.openxmlformats.org/officeDocument/2006/relationships/hyperlink" Target="https://maps.google.com/?q=18.081169,-96.118475000000004" TargetMode="External"/><Relationship Id="rId1749" Type="http://schemas.openxmlformats.org/officeDocument/2006/relationships/hyperlink" Target="https://maps.google.com/?q=17.05857,-96.672068" TargetMode="External"/><Relationship Id="rId1956" Type="http://schemas.openxmlformats.org/officeDocument/2006/relationships/hyperlink" Target="https://maps.google.com/?q=16.433347,-95.021687" TargetMode="External"/><Relationship Id="rId3171" Type="http://schemas.openxmlformats.org/officeDocument/2006/relationships/hyperlink" Target="https://maps.google.com/?q=16.451557650069,-95.017465429600094" TargetMode="External"/><Relationship Id="rId1609" Type="http://schemas.openxmlformats.org/officeDocument/2006/relationships/hyperlink" Target="https://maps.google.com/?q=16.38799,-94.976979" TargetMode="External"/><Relationship Id="rId1816" Type="http://schemas.openxmlformats.org/officeDocument/2006/relationships/hyperlink" Target="https://maps.google.com/?q=15.7737721,-96.143810400000007" TargetMode="External"/><Relationship Id="rId3031" Type="http://schemas.openxmlformats.org/officeDocument/2006/relationships/hyperlink" Target="https://maps.google.com/?q=16.4260143538803,-95.029703339283898" TargetMode="External"/><Relationship Id="rId2797" Type="http://schemas.openxmlformats.org/officeDocument/2006/relationships/hyperlink" Target="https://maps.google.com/?q=18.0968515877555,-96.162917961971303" TargetMode="External"/><Relationship Id="rId769" Type="http://schemas.openxmlformats.org/officeDocument/2006/relationships/hyperlink" Target="https://maps.google.com/?q=16.8215483063579,-95.121444711104502" TargetMode="External"/><Relationship Id="rId976" Type="http://schemas.openxmlformats.org/officeDocument/2006/relationships/hyperlink" Target="https://maps.google.com/?q=17.379632,-96.159374" TargetMode="External"/><Relationship Id="rId1399" Type="http://schemas.openxmlformats.org/officeDocument/2006/relationships/hyperlink" Target="https://maps.google.com/?q=16.78833672,-96.894121420000005" TargetMode="External"/><Relationship Id="rId2657" Type="http://schemas.openxmlformats.org/officeDocument/2006/relationships/hyperlink" Target="https://maps.google.com/?q=18.0276292870711,-96.152436327425605" TargetMode="External"/><Relationship Id="rId629" Type="http://schemas.openxmlformats.org/officeDocument/2006/relationships/hyperlink" Target="https://maps.google.com/?q=17.2782052833,-98.280018999999996" TargetMode="External"/><Relationship Id="rId1259" Type="http://schemas.openxmlformats.org/officeDocument/2006/relationships/hyperlink" Target="https://maps.google.com/?q=16.78122109,-96.945038289999999" TargetMode="External"/><Relationship Id="rId1466" Type="http://schemas.openxmlformats.org/officeDocument/2006/relationships/hyperlink" Target="https://maps.google.com/?q=16.78903644,-96.892594200000005" TargetMode="External"/><Relationship Id="rId2864" Type="http://schemas.openxmlformats.org/officeDocument/2006/relationships/hyperlink" Target="https://maps.google.com/?q=17.010987190562,-97.4663524999999" TargetMode="External"/><Relationship Id="rId836" Type="http://schemas.openxmlformats.org/officeDocument/2006/relationships/hyperlink" Target="https://maps.google.com/?q=16.713056,-94.745457000000002" TargetMode="External"/><Relationship Id="rId1119" Type="http://schemas.openxmlformats.org/officeDocument/2006/relationships/hyperlink" Target="https://maps.google.com/?q=17.381413,-96.160472999999996" TargetMode="External"/><Relationship Id="rId1673" Type="http://schemas.openxmlformats.org/officeDocument/2006/relationships/hyperlink" Target="https://maps.google.com/?q=17.25514755,-97.80226679" TargetMode="External"/><Relationship Id="rId1880" Type="http://schemas.openxmlformats.org/officeDocument/2006/relationships/hyperlink" Target="https://maps.google.com/?q=17.335316,-98.012051" TargetMode="External"/><Relationship Id="rId2517" Type="http://schemas.openxmlformats.org/officeDocument/2006/relationships/hyperlink" Target="https://maps.google.com/?q=16.385597658059783,-96.843687881416585" TargetMode="External"/><Relationship Id="rId2724" Type="http://schemas.openxmlformats.org/officeDocument/2006/relationships/hyperlink" Target="https://maps.google.com/?q=18.0628043118548,-96.143399510745695" TargetMode="External"/><Relationship Id="rId2931" Type="http://schemas.openxmlformats.org/officeDocument/2006/relationships/hyperlink" Target="https://maps.google.com/?q=17.3374577268791,-98.172312690807303" TargetMode="External"/><Relationship Id="rId903" Type="http://schemas.openxmlformats.org/officeDocument/2006/relationships/hyperlink" Target="https://maps.google.com/?q=16.716326,-94.746126000000004" TargetMode="External"/><Relationship Id="rId1326" Type="http://schemas.openxmlformats.org/officeDocument/2006/relationships/hyperlink" Target="https://maps.google.com/?q=16.78696283,-96.925685830000006" TargetMode="External"/><Relationship Id="rId1533" Type="http://schemas.openxmlformats.org/officeDocument/2006/relationships/hyperlink" Target="https://maps.google.com/?q=16.789523,-96.905567000000005" TargetMode="External"/><Relationship Id="rId1740" Type="http://schemas.openxmlformats.org/officeDocument/2006/relationships/hyperlink" Target="https://maps.google.com/?q=16.329057,-96.587304000000003" TargetMode="External"/><Relationship Id="rId32" Type="http://schemas.openxmlformats.org/officeDocument/2006/relationships/hyperlink" Target="https://maps.google.com/?q=15.9878723048064,-95.674472738598595" TargetMode="External"/><Relationship Id="rId1600" Type="http://schemas.openxmlformats.org/officeDocument/2006/relationships/hyperlink" Target="https://maps.google.com/?q=16.79028593,-96.895964809999995" TargetMode="External"/><Relationship Id="rId279" Type="http://schemas.openxmlformats.org/officeDocument/2006/relationships/hyperlink" Target="https://maps.google.com/?q=17.0665580795884,-96.969745953373007" TargetMode="External"/><Relationship Id="rId486" Type="http://schemas.openxmlformats.org/officeDocument/2006/relationships/hyperlink" Target="https://maps.google.com/?q=17.380743058918,-96.920490249300002" TargetMode="External"/><Relationship Id="rId693" Type="http://schemas.openxmlformats.org/officeDocument/2006/relationships/hyperlink" Target="https://maps.google.com/?q=17.2587044063169,-98.2607213411045" TargetMode="External"/><Relationship Id="rId2167" Type="http://schemas.openxmlformats.org/officeDocument/2006/relationships/hyperlink" Target="https://maps.google.com/?q=16.500512,-96.106790000000004" TargetMode="External"/><Relationship Id="rId2374" Type="http://schemas.openxmlformats.org/officeDocument/2006/relationships/hyperlink" Target="https://maps.google.com/?q=16.380052335415996,-96.844418978292438" TargetMode="External"/><Relationship Id="rId2581" Type="http://schemas.openxmlformats.org/officeDocument/2006/relationships/hyperlink" Target="https://maps.google.com/?q=16.388508731608166,-96.838696370943438" TargetMode="External"/><Relationship Id="rId3218" Type="http://schemas.openxmlformats.org/officeDocument/2006/relationships/hyperlink" Target="https://maps.google.com/?q=17.806621,-97.776161999999999" TargetMode="External"/><Relationship Id="rId139" Type="http://schemas.openxmlformats.org/officeDocument/2006/relationships/hyperlink" Target="https://maps.google.com/?q=16.7802345542635,-96.581667216829999" TargetMode="External"/><Relationship Id="rId346" Type="http://schemas.openxmlformats.org/officeDocument/2006/relationships/hyperlink" Target="https://maps.google.com/?q=16.498746,-97.779933" TargetMode="External"/><Relationship Id="rId553" Type="http://schemas.openxmlformats.org/officeDocument/2006/relationships/hyperlink" Target="https://maps.google.com/?q=17.071418493530846,-96.83074489213462" TargetMode="External"/><Relationship Id="rId760" Type="http://schemas.openxmlformats.org/officeDocument/2006/relationships/hyperlink" Target="https://maps.google.com/?q=16.8181571069928,-95.120004793006203" TargetMode="External"/><Relationship Id="rId1183" Type="http://schemas.openxmlformats.org/officeDocument/2006/relationships/hyperlink" Target="https://maps.google.com/?q=17.100081,%20-96.771362" TargetMode="External"/><Relationship Id="rId1390" Type="http://schemas.openxmlformats.org/officeDocument/2006/relationships/hyperlink" Target="https://maps.google.com/?q=16.78817731,-96.897604130000005" TargetMode="External"/><Relationship Id="rId2027" Type="http://schemas.openxmlformats.org/officeDocument/2006/relationships/hyperlink" Target="https://maps.google.com/?q=17.207464,-96.801094000000006" TargetMode="External"/><Relationship Id="rId2234" Type="http://schemas.openxmlformats.org/officeDocument/2006/relationships/hyperlink" Target="https://maps.google.com/?q=17.026216,-97.928115000000005" TargetMode="External"/><Relationship Id="rId2441" Type="http://schemas.openxmlformats.org/officeDocument/2006/relationships/hyperlink" Target="https://maps.google.com/?q=16.384273237578476,-96.843135296905984" TargetMode="External"/><Relationship Id="rId206" Type="http://schemas.openxmlformats.org/officeDocument/2006/relationships/hyperlink" Target="https://maps.google.com/?q=16.7842530287741,-96.583852579121697" TargetMode="External"/><Relationship Id="rId413" Type="http://schemas.openxmlformats.org/officeDocument/2006/relationships/hyperlink" Target="https://maps.google.com/?q=17.40236102,-96.928681269999998" TargetMode="External"/><Relationship Id="rId1043" Type="http://schemas.openxmlformats.org/officeDocument/2006/relationships/hyperlink" Target="https://maps.google.com/?q=17.380473,-96.161529999999999" TargetMode="External"/><Relationship Id="rId620" Type="http://schemas.openxmlformats.org/officeDocument/2006/relationships/hyperlink" Target="https://maps.google.com/?q=17.2754192833189,-98.277323317791002" TargetMode="External"/><Relationship Id="rId1250" Type="http://schemas.openxmlformats.org/officeDocument/2006/relationships/hyperlink" Target="https://maps.google.com/?q=16.78065544,-96.950443989999997" TargetMode="External"/><Relationship Id="rId2301" Type="http://schemas.openxmlformats.org/officeDocument/2006/relationships/hyperlink" Target="https://maps.google.com/?q=17.33873,-96.152553999999995" TargetMode="External"/><Relationship Id="rId1110" Type="http://schemas.openxmlformats.org/officeDocument/2006/relationships/hyperlink" Target="https://maps.google.com/?q=17.381225,-96.161112000000003" TargetMode="External"/><Relationship Id="rId1927" Type="http://schemas.openxmlformats.org/officeDocument/2006/relationships/hyperlink" Target="https://maps.google.com/?q=16.500512,-96.106790000000004" TargetMode="External"/><Relationship Id="rId3075" Type="http://schemas.openxmlformats.org/officeDocument/2006/relationships/hyperlink" Target="https://maps.google.com/?q=16.4300860463655,-95.036668181716706" TargetMode="External"/><Relationship Id="rId3282" Type="http://schemas.openxmlformats.org/officeDocument/2006/relationships/hyperlink" Target="https://maps.google.com/?q=18.220004,-96.760210" TargetMode="External"/><Relationship Id="rId2091" Type="http://schemas.openxmlformats.org/officeDocument/2006/relationships/hyperlink" Target="https://maps.google.com/?q=17.33873,-96.152553999999995" TargetMode="External"/><Relationship Id="rId3142" Type="http://schemas.openxmlformats.org/officeDocument/2006/relationships/hyperlink" Target="https://maps.google.com/?q=16.4407277157173,-95.011826547341002" TargetMode="External"/><Relationship Id="rId270" Type="http://schemas.openxmlformats.org/officeDocument/2006/relationships/hyperlink" Target="https://maps.google.com/?q=17.1231999194105,-96.973057684418094" TargetMode="External"/><Relationship Id="rId3002" Type="http://schemas.openxmlformats.org/officeDocument/2006/relationships/hyperlink" Target="https://maps.google.com/?q=16.4229359863291,-95.015278804461303" TargetMode="External"/><Relationship Id="rId130" Type="http://schemas.openxmlformats.org/officeDocument/2006/relationships/hyperlink" Target="https://maps.google.com/?q=16.7789544328024,-96.584501327633106" TargetMode="External"/><Relationship Id="rId2768" Type="http://schemas.openxmlformats.org/officeDocument/2006/relationships/hyperlink" Target="https://maps.google.com/?q=18.0838912439762,-96.166298482692099" TargetMode="External"/><Relationship Id="rId2975" Type="http://schemas.openxmlformats.org/officeDocument/2006/relationships/hyperlink" Target="https://maps.google.com/?q=17.432649,-98.285167000000001" TargetMode="External"/><Relationship Id="rId947" Type="http://schemas.openxmlformats.org/officeDocument/2006/relationships/hyperlink" Target="https://maps.google.com/?q=16.679951,-94.775559000000001" TargetMode="External"/><Relationship Id="rId1577" Type="http://schemas.openxmlformats.org/officeDocument/2006/relationships/hyperlink" Target="https://maps.google.com/?q=16.78988799,-96.905053719999998" TargetMode="External"/><Relationship Id="rId1784" Type="http://schemas.openxmlformats.org/officeDocument/2006/relationships/hyperlink" Target="https://maps.google.com/?q=15.7731157,-96.141798199999997" TargetMode="External"/><Relationship Id="rId1991" Type="http://schemas.openxmlformats.org/officeDocument/2006/relationships/hyperlink" Target="https://maps.google.com/?q=16.866371,-96.785623000000001" TargetMode="External"/><Relationship Id="rId2628" Type="http://schemas.openxmlformats.org/officeDocument/2006/relationships/hyperlink" Target="https://maps.google.com/?q=17.984414483043,-96.100013177909901" TargetMode="External"/><Relationship Id="rId2835" Type="http://schemas.openxmlformats.org/officeDocument/2006/relationships/hyperlink" Target="https://maps.google.com/?q=17.0217124850169,-97.500640999999902" TargetMode="External"/><Relationship Id="rId76" Type="http://schemas.openxmlformats.org/officeDocument/2006/relationships/hyperlink" Target="https://maps.google.com/?q=17.01779991,-96.863720282820694" TargetMode="External"/><Relationship Id="rId807" Type="http://schemas.openxmlformats.org/officeDocument/2006/relationships/hyperlink" Target="https://maps.google.com/?q=16.8984078875144,-95.034682387731607" TargetMode="External"/><Relationship Id="rId1437" Type="http://schemas.openxmlformats.org/officeDocument/2006/relationships/hyperlink" Target="https://maps.google.com/?q=16.78876244,-96.913317149999997" TargetMode="External"/><Relationship Id="rId1644" Type="http://schemas.openxmlformats.org/officeDocument/2006/relationships/hyperlink" Target="https://maps.google.com/?q=17.3236663277468,-97.894482904669502" TargetMode="External"/><Relationship Id="rId1851" Type="http://schemas.openxmlformats.org/officeDocument/2006/relationships/hyperlink" Target="https://maps.google.com/?q=17.82283,-97.732641999999998" TargetMode="External"/><Relationship Id="rId2902" Type="http://schemas.openxmlformats.org/officeDocument/2006/relationships/hyperlink" Target="https://maps.google.com/?q=17.3215728262287,-98.2414339517354" TargetMode="External"/><Relationship Id="rId1504" Type="http://schemas.openxmlformats.org/officeDocument/2006/relationships/hyperlink" Target="https://maps.google.com/?q=16.78923717,-96.907588529999998" TargetMode="External"/><Relationship Id="rId1711" Type="http://schemas.openxmlformats.org/officeDocument/2006/relationships/hyperlink" Target="https://maps.google.com/?q=16.787254,-96.793256999999997" TargetMode="External"/><Relationship Id="rId597" Type="http://schemas.openxmlformats.org/officeDocument/2006/relationships/hyperlink" Target="https://maps.google.com/?q=17.2715323298746,-98.277824939811794" TargetMode="External"/><Relationship Id="rId2278" Type="http://schemas.openxmlformats.org/officeDocument/2006/relationships/hyperlink" Target="https://maps.google.com/?q=17.806621,-97.776161999999999" TargetMode="External"/><Relationship Id="rId2485" Type="http://schemas.openxmlformats.org/officeDocument/2006/relationships/hyperlink" Target="https://maps.google.com/?q=16.385069577467075,-96.839601071937864" TargetMode="External"/><Relationship Id="rId457" Type="http://schemas.openxmlformats.org/officeDocument/2006/relationships/hyperlink" Target="https://maps.google.com/?q=17.41342,-96.931466" TargetMode="External"/><Relationship Id="rId1087" Type="http://schemas.openxmlformats.org/officeDocument/2006/relationships/hyperlink" Target="https://maps.google.com/?q=17.381013,-96.161268000000007" TargetMode="External"/><Relationship Id="rId1294" Type="http://schemas.openxmlformats.org/officeDocument/2006/relationships/hyperlink" Target="https://maps.google.com/?q=16.78568568277209,-96.905499834257213" TargetMode="External"/><Relationship Id="rId2138" Type="http://schemas.openxmlformats.org/officeDocument/2006/relationships/hyperlink" Target="https://maps.google.com/?q=16.519807,-96.983885000000001" TargetMode="External"/><Relationship Id="rId2692" Type="http://schemas.openxmlformats.org/officeDocument/2006/relationships/hyperlink" Target="https://maps.google.com/?q=18.0544150286374,-96.149071673610806" TargetMode="External"/><Relationship Id="rId664" Type="http://schemas.openxmlformats.org/officeDocument/2006/relationships/hyperlink" Target="https://maps.google.com/?q=17.2560329188462,-98.260749759247403" TargetMode="External"/><Relationship Id="rId871" Type="http://schemas.openxmlformats.org/officeDocument/2006/relationships/hyperlink" Target="https://maps.google.com/?q=16.714703,-94.747414000000006" TargetMode="External"/><Relationship Id="rId2345" Type="http://schemas.openxmlformats.org/officeDocument/2006/relationships/hyperlink" Target="https://maps.google.com/?q=16.328751,-96.596529000000004" TargetMode="External"/><Relationship Id="rId2552" Type="http://schemas.openxmlformats.org/officeDocument/2006/relationships/hyperlink" Target="https://maps.google.com/?q=16.38702016381129,-96.838624926758257" TargetMode="External"/><Relationship Id="rId317" Type="http://schemas.openxmlformats.org/officeDocument/2006/relationships/hyperlink" Target="https://maps.google.com/?q=16.5134448058812,-97.781264510741394" TargetMode="External"/><Relationship Id="rId524" Type="http://schemas.openxmlformats.org/officeDocument/2006/relationships/hyperlink" Target="https://maps.google.com/?q=17.1623109555063,-97.724578270529605" TargetMode="External"/><Relationship Id="rId731" Type="http://schemas.openxmlformats.org/officeDocument/2006/relationships/hyperlink" Target="https://maps.google.com/?q=16.8905521356939,-95.035087728835805" TargetMode="External"/><Relationship Id="rId1154" Type="http://schemas.openxmlformats.org/officeDocument/2006/relationships/hyperlink" Target="https://maps.google.com/?q=17.38199,-96.162351000000001" TargetMode="External"/><Relationship Id="rId1361" Type="http://schemas.openxmlformats.org/officeDocument/2006/relationships/hyperlink" Target="https://maps.google.com/?q=16.78776783,-96.916234720000006" TargetMode="External"/><Relationship Id="rId2205" Type="http://schemas.openxmlformats.org/officeDocument/2006/relationships/hyperlink" Target="https://maps.google.com/?q=17.027131,-96.077044000000001" TargetMode="External"/><Relationship Id="rId2412" Type="http://schemas.openxmlformats.org/officeDocument/2006/relationships/hyperlink" Target="https://maps.google.com/?q=16.383474544723605,-96.841854578011166" TargetMode="External"/><Relationship Id="rId1014" Type="http://schemas.openxmlformats.org/officeDocument/2006/relationships/hyperlink" Target="https://maps.google.com/?q=17.380213,-96.161011999999999" TargetMode="External"/><Relationship Id="rId1221" Type="http://schemas.openxmlformats.org/officeDocument/2006/relationships/hyperlink" Target="https://maps.google.com/?q=17.10134173,-96.772362198" TargetMode="External"/><Relationship Id="rId3186" Type="http://schemas.openxmlformats.org/officeDocument/2006/relationships/hyperlink" Target="https://maps.google.com/?q=18.030690374873892,-96.90945879916092" TargetMode="External"/><Relationship Id="rId3046" Type="http://schemas.openxmlformats.org/officeDocument/2006/relationships/hyperlink" Target="https://maps.google.com/?q=16.427226033525,-95.013633213926099" TargetMode="External"/><Relationship Id="rId3253" Type="http://schemas.openxmlformats.org/officeDocument/2006/relationships/hyperlink" Target="https://maps.google.com/?q=17.189125,-96.855996" TargetMode="External"/><Relationship Id="rId174" Type="http://schemas.openxmlformats.org/officeDocument/2006/relationships/hyperlink" Target="https://maps.google.com/?q=16.7825067576899,-96.578412334261799" TargetMode="External"/><Relationship Id="rId381" Type="http://schemas.openxmlformats.org/officeDocument/2006/relationships/hyperlink" Target="https://maps.google.com/?q=16.488742,-97.576903000000001" TargetMode="External"/><Relationship Id="rId2062" Type="http://schemas.openxmlformats.org/officeDocument/2006/relationships/hyperlink" Target="https://maps.google.com/?q=17.361766,-95.922253999999995" TargetMode="External"/><Relationship Id="rId3113" Type="http://schemas.openxmlformats.org/officeDocument/2006/relationships/hyperlink" Target="https://maps.google.com/?q=16.4382720979427,-95.016529455337704" TargetMode="External"/><Relationship Id="rId241" Type="http://schemas.openxmlformats.org/officeDocument/2006/relationships/hyperlink" Target="https://maps.google.com/?q=16.9792276538926,-97.023339868717102" TargetMode="External"/><Relationship Id="rId2879" Type="http://schemas.openxmlformats.org/officeDocument/2006/relationships/hyperlink" Target="https://maps.google.com/?q=17.0050124569502,-97.511360954527007" TargetMode="External"/><Relationship Id="rId101" Type="http://schemas.openxmlformats.org/officeDocument/2006/relationships/hyperlink" Target="https://maps.google.com/?q=17.0123929652416,-96.889737877315298" TargetMode="External"/><Relationship Id="rId1688" Type="http://schemas.openxmlformats.org/officeDocument/2006/relationships/hyperlink" Target="https://maps.google.com/?q=17.4000011409103,-97.920266626982993" TargetMode="External"/><Relationship Id="rId1895" Type="http://schemas.openxmlformats.org/officeDocument/2006/relationships/hyperlink" Target="https://maps.google.com/?q=16.332014,-95.231966" TargetMode="External"/><Relationship Id="rId2739" Type="http://schemas.openxmlformats.org/officeDocument/2006/relationships/hyperlink" Target="https://maps.google.com/?q=18.0753911298568,-96.175966964920704" TargetMode="External"/><Relationship Id="rId2946" Type="http://schemas.openxmlformats.org/officeDocument/2006/relationships/hyperlink" Target="https://maps.google.com/?q=17.428574,-98.295173000000005" TargetMode="External"/><Relationship Id="rId918" Type="http://schemas.openxmlformats.org/officeDocument/2006/relationships/hyperlink" Target="https://maps.google.com/?q=16.6733851079275,-94.777915254287905" TargetMode="External"/><Relationship Id="rId1548" Type="http://schemas.openxmlformats.org/officeDocument/2006/relationships/hyperlink" Target="https://maps.google.com/?q=16.78965417,-96.920153720000002" TargetMode="External"/><Relationship Id="rId1755" Type="http://schemas.openxmlformats.org/officeDocument/2006/relationships/hyperlink" Target="https://maps.google.com/?q=17.307841,-96.898910000000001" TargetMode="External"/><Relationship Id="rId1408" Type="http://schemas.openxmlformats.org/officeDocument/2006/relationships/hyperlink" Target="https://maps.google.com/?q=16.78846795,-96.914754970000004" TargetMode="External"/><Relationship Id="rId1962" Type="http://schemas.openxmlformats.org/officeDocument/2006/relationships/hyperlink" Target="https://maps.google.com/?q=16.950706,-96.750504000000006" TargetMode="External"/><Relationship Id="rId2806" Type="http://schemas.openxmlformats.org/officeDocument/2006/relationships/hyperlink" Target="https://maps.google.com/?q=18.0990893631846,-96.156827033288906" TargetMode="External"/><Relationship Id="rId47" Type="http://schemas.openxmlformats.org/officeDocument/2006/relationships/hyperlink" Target="https://maps.google.com/?q=16.9777828248555,-96.891393547290804" TargetMode="External"/><Relationship Id="rId1615" Type="http://schemas.openxmlformats.org/officeDocument/2006/relationships/hyperlink" Target="https://maps.google.com/?q=17.10290890551197,-96.712329532705539" TargetMode="External"/><Relationship Id="rId1822" Type="http://schemas.openxmlformats.org/officeDocument/2006/relationships/hyperlink" Target="https://maps.google.com/?q=15.7739666,-96.143167700000006" TargetMode="External"/><Relationship Id="rId2389" Type="http://schemas.openxmlformats.org/officeDocument/2006/relationships/hyperlink" Target="https://maps.google.com/?q=16.382277112549726,-96.841831141107406" TargetMode="External"/><Relationship Id="rId2596" Type="http://schemas.openxmlformats.org/officeDocument/2006/relationships/hyperlink" Target="https://maps.google.com/?q=16.394959380353868,-96.844118153874163" TargetMode="External"/><Relationship Id="rId568" Type="http://schemas.openxmlformats.org/officeDocument/2006/relationships/hyperlink" Target="https://maps.google.com/?q=17.1762462528815,-98.194216448900804" TargetMode="External"/><Relationship Id="rId775" Type="http://schemas.openxmlformats.org/officeDocument/2006/relationships/hyperlink" Target="https://maps.google.com/?q=16.8231339637706,-95.119854532565597" TargetMode="External"/><Relationship Id="rId982" Type="http://schemas.openxmlformats.org/officeDocument/2006/relationships/hyperlink" Target="https://maps.google.com/?q=17.379748,-96.159486999999999" TargetMode="External"/><Relationship Id="rId1198" Type="http://schemas.openxmlformats.org/officeDocument/2006/relationships/hyperlink" Target="https://maps.google.com/?q=17.103607,%20-96.774815" TargetMode="External"/><Relationship Id="rId2249" Type="http://schemas.openxmlformats.org/officeDocument/2006/relationships/hyperlink" Target="https://maps.google.com/?q=18.081169,-96.118475000000004" TargetMode="External"/><Relationship Id="rId2456" Type="http://schemas.openxmlformats.org/officeDocument/2006/relationships/hyperlink" Target="https://maps.google.com/?q=16.384451855170198,-96.839656829065618" TargetMode="External"/><Relationship Id="rId2663" Type="http://schemas.openxmlformats.org/officeDocument/2006/relationships/hyperlink" Target="https://maps.google.com/?q=18.0293541669402,-96.156686107969307" TargetMode="External"/><Relationship Id="rId2870" Type="http://schemas.openxmlformats.org/officeDocument/2006/relationships/hyperlink" Target="https://maps.google.com/?q=17.06260536584,-97.477619596225693" TargetMode="External"/><Relationship Id="rId428" Type="http://schemas.openxmlformats.org/officeDocument/2006/relationships/hyperlink" Target="https://maps.google.com/?q=17.4085797,-97.012168270000004" TargetMode="External"/><Relationship Id="rId635" Type="http://schemas.openxmlformats.org/officeDocument/2006/relationships/hyperlink" Target="https://maps.google.com/?q=17.2802744415723,-98.281274999999994" TargetMode="External"/><Relationship Id="rId842" Type="http://schemas.openxmlformats.org/officeDocument/2006/relationships/hyperlink" Target="https://maps.google.com/?q=16.713298,-94.746329000000003" TargetMode="External"/><Relationship Id="rId1058" Type="http://schemas.openxmlformats.org/officeDocument/2006/relationships/hyperlink" Target="https://maps.google.com/?q=17.380663,-96.163470000000004" TargetMode="External"/><Relationship Id="rId1265" Type="http://schemas.openxmlformats.org/officeDocument/2006/relationships/hyperlink" Target="https://maps.google.com/?q=16.78175932,-96.94649149" TargetMode="External"/><Relationship Id="rId1472" Type="http://schemas.openxmlformats.org/officeDocument/2006/relationships/hyperlink" Target="https://maps.google.com/?q=16.78905889,-96.895239950000004" TargetMode="External"/><Relationship Id="rId2109" Type="http://schemas.openxmlformats.org/officeDocument/2006/relationships/hyperlink" Target="https://maps.google.com/?q=16.564244,-96.731829000000005" TargetMode="External"/><Relationship Id="rId2316" Type="http://schemas.openxmlformats.org/officeDocument/2006/relationships/hyperlink" Target="https://maps.google.com/?q=16.433347,-95.021687" TargetMode="External"/><Relationship Id="rId2523" Type="http://schemas.openxmlformats.org/officeDocument/2006/relationships/hyperlink" Target="https://maps.google.com/?q=16.38585798224566,-96.838395354640781" TargetMode="External"/><Relationship Id="rId2730" Type="http://schemas.openxmlformats.org/officeDocument/2006/relationships/hyperlink" Target="https://maps.google.com/?q=18.0741056552639,-96.173741597552706" TargetMode="External"/><Relationship Id="rId702" Type="http://schemas.openxmlformats.org/officeDocument/2006/relationships/hyperlink" Target="https://maps.google.com/?q=17.259264721994,-98.262565658895497" TargetMode="External"/><Relationship Id="rId1125" Type="http://schemas.openxmlformats.org/officeDocument/2006/relationships/hyperlink" Target="https://maps.google.com/?q=17.38151062421174,-96.160025493316979" TargetMode="External"/><Relationship Id="rId1332" Type="http://schemas.openxmlformats.org/officeDocument/2006/relationships/hyperlink" Target="https://maps.google.com/?q=16.78715714,-96.898659309999999" TargetMode="External"/><Relationship Id="rId3157" Type="http://schemas.openxmlformats.org/officeDocument/2006/relationships/hyperlink" Target="https://maps.google.com/?q=16.4448779712568,-95.021831434579695" TargetMode="External"/><Relationship Id="rId285" Type="http://schemas.openxmlformats.org/officeDocument/2006/relationships/hyperlink" Target="https://maps.google.com/?q=16.6130362959987,-97.789042635582106" TargetMode="External"/><Relationship Id="rId492" Type="http://schemas.openxmlformats.org/officeDocument/2006/relationships/hyperlink" Target="https://maps.google.com/?q=17.29243286,-96.904066560000004" TargetMode="External"/><Relationship Id="rId2173" Type="http://schemas.openxmlformats.org/officeDocument/2006/relationships/hyperlink" Target="https://maps.google.com/?q=16.95558,-96.479206000000005" TargetMode="External"/><Relationship Id="rId2380" Type="http://schemas.openxmlformats.org/officeDocument/2006/relationships/hyperlink" Target="https://maps.google.com/?q=16.380732941404762,-96.845777729294539" TargetMode="External"/><Relationship Id="rId3017" Type="http://schemas.openxmlformats.org/officeDocument/2006/relationships/hyperlink" Target="https://maps.google.com/?q=16.4251514778886,-95.013707857175703" TargetMode="External"/><Relationship Id="rId3224" Type="http://schemas.openxmlformats.org/officeDocument/2006/relationships/hyperlink" Target="https://maps.google.com/?q=16.328751,-96.596529000000004" TargetMode="External"/><Relationship Id="rId145" Type="http://schemas.openxmlformats.org/officeDocument/2006/relationships/hyperlink" Target="https://maps.google.com/?q=16.7805918781669,-96.578779679761496" TargetMode="External"/><Relationship Id="rId352" Type="http://schemas.openxmlformats.org/officeDocument/2006/relationships/hyperlink" Target="https://maps.google.com/?q=16.499316006109,-97.783234565641393" TargetMode="External"/><Relationship Id="rId2033" Type="http://schemas.openxmlformats.org/officeDocument/2006/relationships/hyperlink" Target="https://maps.google.com/?q=17.458341,-97.225285" TargetMode="External"/><Relationship Id="rId2240" Type="http://schemas.openxmlformats.org/officeDocument/2006/relationships/hyperlink" Target="https://maps.google.com/?q=17.335316,-98.012051" TargetMode="External"/><Relationship Id="rId212" Type="http://schemas.openxmlformats.org/officeDocument/2006/relationships/hyperlink" Target="https://maps.google.com/?q=16.78497879622,-96.577736425760307" TargetMode="External"/><Relationship Id="rId1799" Type="http://schemas.openxmlformats.org/officeDocument/2006/relationships/hyperlink" Target="https://maps.google.com/?q=15.7732597,-96.137616899999998" TargetMode="External"/><Relationship Id="rId2100" Type="http://schemas.openxmlformats.org/officeDocument/2006/relationships/hyperlink" Target="https://maps.google.com/?q=18.13222,-97.070751000000001" TargetMode="External"/><Relationship Id="rId1659" Type="http://schemas.openxmlformats.org/officeDocument/2006/relationships/hyperlink" Target="https://maps.google.com/?q=17.337232,-97.875725000000003" TargetMode="External"/><Relationship Id="rId1866" Type="http://schemas.openxmlformats.org/officeDocument/2006/relationships/hyperlink" Target="https://maps.google.com/?q=16.433347,-95.021687" TargetMode="External"/><Relationship Id="rId2917" Type="http://schemas.openxmlformats.org/officeDocument/2006/relationships/hyperlink" Target="https://maps.google.com/?q=17.3341417175829,-98.1683286258036" TargetMode="External"/><Relationship Id="rId3081" Type="http://schemas.openxmlformats.org/officeDocument/2006/relationships/hyperlink" Target="https://maps.google.com/?q=16.4311494067934,-95.004779553367896" TargetMode="External"/><Relationship Id="rId1519" Type="http://schemas.openxmlformats.org/officeDocument/2006/relationships/hyperlink" Target="https://maps.google.com/?q=16.78935508,-96.897319519999996" TargetMode="External"/><Relationship Id="rId1726" Type="http://schemas.openxmlformats.org/officeDocument/2006/relationships/hyperlink" Target="https://maps.google.com/?q=16.788501,-96.790858" TargetMode="External"/><Relationship Id="rId1933" Type="http://schemas.openxmlformats.org/officeDocument/2006/relationships/hyperlink" Target="https://maps.google.com/?q=16.95558,-96.479206000000005" TargetMode="External"/><Relationship Id="rId18" Type="http://schemas.openxmlformats.org/officeDocument/2006/relationships/hyperlink" Target="https://maps.google.com/?q=15.98073532,-95.675526550000001" TargetMode="External"/><Relationship Id="rId679" Type="http://schemas.openxmlformats.org/officeDocument/2006/relationships/hyperlink" Target="https://maps.google.com/?q=17.2569312834443,-98.256616341104504" TargetMode="External"/><Relationship Id="rId886" Type="http://schemas.openxmlformats.org/officeDocument/2006/relationships/hyperlink" Target="https://maps.google.com/?q=16.7153740867174,-94.748309466270399" TargetMode="External"/><Relationship Id="rId2567" Type="http://schemas.openxmlformats.org/officeDocument/2006/relationships/hyperlink" Target="https://maps.google.com/?q=16.387398515263225,-96.839913757627528" TargetMode="External"/><Relationship Id="rId2774" Type="http://schemas.openxmlformats.org/officeDocument/2006/relationships/hyperlink" Target="https://maps.google.com/?q=18.0847321549239,-96.167180842922306" TargetMode="External"/><Relationship Id="rId2" Type="http://schemas.openxmlformats.org/officeDocument/2006/relationships/hyperlink" Target="https://maps.google.com/?q=15.66338,-96.521294" TargetMode="External"/><Relationship Id="rId539" Type="http://schemas.openxmlformats.org/officeDocument/2006/relationships/hyperlink" Target="https://maps.google.com/?q=17.1530839430282,-97.709812504299194" TargetMode="External"/><Relationship Id="rId746" Type="http://schemas.openxmlformats.org/officeDocument/2006/relationships/hyperlink" Target="https://maps.google.com/?q=16.814892354976,-95.119171903903606" TargetMode="External"/><Relationship Id="rId1169" Type="http://schemas.openxmlformats.org/officeDocument/2006/relationships/hyperlink" Target="https://maps.google.com/?q=17.382629,-96.166371999999996" TargetMode="External"/><Relationship Id="rId1376" Type="http://schemas.openxmlformats.org/officeDocument/2006/relationships/hyperlink" Target="https://maps.google.com/?q=16.78797378,-96.914670909999998" TargetMode="External"/><Relationship Id="rId1583" Type="http://schemas.openxmlformats.org/officeDocument/2006/relationships/hyperlink" Target="https://maps.google.com/?q=16.78998937,-96.904918570000007" TargetMode="External"/><Relationship Id="rId2427" Type="http://schemas.openxmlformats.org/officeDocument/2006/relationships/hyperlink" Target="https://maps.google.com/?q=16.383941782658567,-96.841533389079316" TargetMode="External"/><Relationship Id="rId2981" Type="http://schemas.openxmlformats.org/officeDocument/2006/relationships/hyperlink" Target="https://maps.google.com/?q=17.433864,-98.285939999999997" TargetMode="External"/><Relationship Id="rId953" Type="http://schemas.openxmlformats.org/officeDocument/2006/relationships/hyperlink" Target="https://maps.google.com/?q=16.630331,-94.809375" TargetMode="External"/><Relationship Id="rId1029" Type="http://schemas.openxmlformats.org/officeDocument/2006/relationships/hyperlink" Target="https://maps.google.com/?q=17.380353,-96.163336000000001" TargetMode="External"/><Relationship Id="rId1236" Type="http://schemas.openxmlformats.org/officeDocument/2006/relationships/hyperlink" Target="https://maps.google.com/?q=17.104314862,-96.777690739" TargetMode="External"/><Relationship Id="rId1790" Type="http://schemas.openxmlformats.org/officeDocument/2006/relationships/hyperlink" Target="https://maps.google.com/?q=15.7731704,-96.141748000000007" TargetMode="External"/><Relationship Id="rId2634" Type="http://schemas.openxmlformats.org/officeDocument/2006/relationships/hyperlink" Target="https://maps.google.com/?q=17.986001733706,-96.101765946601802" TargetMode="External"/><Relationship Id="rId2841" Type="http://schemas.openxmlformats.org/officeDocument/2006/relationships/hyperlink" Target="https://maps.google.com/?q=17.0347437445802,-97.511146317790903" TargetMode="External"/><Relationship Id="rId82" Type="http://schemas.openxmlformats.org/officeDocument/2006/relationships/hyperlink" Target="https://maps.google.com/?q=17.020742135921,-96.863107833169906" TargetMode="External"/><Relationship Id="rId606" Type="http://schemas.openxmlformats.org/officeDocument/2006/relationships/hyperlink" Target="https://maps.google.com/?q=17.2731742476786,-98.274477635582002" TargetMode="External"/><Relationship Id="rId813" Type="http://schemas.openxmlformats.org/officeDocument/2006/relationships/hyperlink" Target="https://maps.google.com/?q=16.8831417193859,-95.051033999999902" TargetMode="External"/><Relationship Id="rId1443" Type="http://schemas.openxmlformats.org/officeDocument/2006/relationships/hyperlink" Target="https://maps.google.com/?q=16.78878062,-96.917647810000005" TargetMode="External"/><Relationship Id="rId1650" Type="http://schemas.openxmlformats.org/officeDocument/2006/relationships/hyperlink" Target="https://maps.google.com/?q=17.3249926818198,-97.895024710889501" TargetMode="External"/><Relationship Id="rId2701" Type="http://schemas.openxmlformats.org/officeDocument/2006/relationships/hyperlink" Target="https://maps.google.com/?q=18.0587496005879,-96.146161883432896" TargetMode="External"/><Relationship Id="rId1303" Type="http://schemas.openxmlformats.org/officeDocument/2006/relationships/hyperlink" Target="https://maps.google.com/?q=16.78640254,-96.927498299999996" TargetMode="External"/><Relationship Id="rId1510" Type="http://schemas.openxmlformats.org/officeDocument/2006/relationships/hyperlink" Target="https://maps.google.com/?q=16.78927134,-96.908607360000005" TargetMode="External"/><Relationship Id="rId3268" Type="http://schemas.openxmlformats.org/officeDocument/2006/relationships/hyperlink" Target="https://maps.google.com/?q=18.05728,-96.993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tabSelected="1" workbookViewId="0">
      <selection activeCell="C12" sqref="C12"/>
    </sheetView>
  </sheetViews>
  <sheetFormatPr baseColWidth="10" defaultColWidth="8.7265625" defaultRowHeight="14.5" x14ac:dyDescent="0.35"/>
  <cols>
    <col min="1" max="1" width="9" customWidth="1"/>
    <col min="2" max="2" width="27" customWidth="1"/>
    <col min="3" max="3" width="13" customWidth="1"/>
    <col min="4" max="4" width="3" customWidth="1"/>
  </cols>
  <sheetData>
    <row r="1" spans="1:16" ht="78" customHeigh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29" x14ac:dyDescent="0.35">
      <c r="A2" s="1"/>
      <c r="B2" s="1" t="s">
        <v>36</v>
      </c>
      <c r="C2" s="1" t="s">
        <v>489</v>
      </c>
    </row>
    <row r="3" spans="1:16" ht="35" customHeight="1" x14ac:dyDescent="0.35">
      <c r="A3" s="3"/>
      <c r="B3" s="3" t="s">
        <v>490</v>
      </c>
      <c r="C3" s="3">
        <v>7</v>
      </c>
    </row>
    <row r="4" spans="1:16" ht="35" customHeight="1" x14ac:dyDescent="0.35">
      <c r="A4" s="4"/>
      <c r="B4" s="4" t="s">
        <v>491</v>
      </c>
      <c r="C4" s="4">
        <v>10</v>
      </c>
    </row>
    <row r="5" spans="1:16" ht="35" customHeight="1" x14ac:dyDescent="0.35">
      <c r="A5" s="5"/>
      <c r="B5" s="5" t="s">
        <v>481</v>
      </c>
      <c r="C5" s="5">
        <v>19</v>
      </c>
    </row>
    <row r="6" spans="1:16" ht="35" customHeight="1" x14ac:dyDescent="0.35">
      <c r="A6" s="6"/>
      <c r="B6" s="6" t="s">
        <v>482</v>
      </c>
      <c r="C6" s="6">
        <v>44</v>
      </c>
    </row>
    <row r="7" spans="1:16" ht="35" customHeight="1" x14ac:dyDescent="0.35">
      <c r="A7" s="5"/>
      <c r="B7" s="5" t="s">
        <v>483</v>
      </c>
      <c r="C7" s="5">
        <v>6</v>
      </c>
    </row>
    <row r="8" spans="1:16" ht="35" customHeight="1" x14ac:dyDescent="0.35">
      <c r="A8" s="6"/>
      <c r="B8" s="6" t="s">
        <v>484</v>
      </c>
      <c r="C8" s="6">
        <v>2</v>
      </c>
    </row>
    <row r="9" spans="1:16" ht="35" customHeight="1" x14ac:dyDescent="0.35">
      <c r="A9" s="5"/>
      <c r="B9" s="5" t="s">
        <v>485</v>
      </c>
      <c r="C9" s="5">
        <v>2</v>
      </c>
    </row>
    <row r="10" spans="1:16" ht="35" customHeight="1" x14ac:dyDescent="0.35">
      <c r="A10" s="6"/>
      <c r="B10" s="6" t="s">
        <v>486</v>
      </c>
      <c r="C10" s="6">
        <v>52</v>
      </c>
    </row>
    <row r="11" spans="1:16" ht="35" customHeight="1" x14ac:dyDescent="0.35">
      <c r="A11" s="5"/>
      <c r="B11" s="5" t="s">
        <v>487</v>
      </c>
      <c r="C11" s="5">
        <v>19</v>
      </c>
    </row>
    <row r="12" spans="1:16" ht="35" customHeight="1" x14ac:dyDescent="0.35">
      <c r="A12" s="6"/>
      <c r="B12" s="6" t="s">
        <v>488</v>
      </c>
      <c r="C12" s="6">
        <v>161</v>
      </c>
    </row>
    <row r="13" spans="1:16" x14ac:dyDescent="0.35">
      <c r="A13" s="2"/>
      <c r="B13" s="2"/>
      <c r="C13" s="2"/>
    </row>
    <row r="14" spans="1:16" x14ac:dyDescent="0.35">
      <c r="A14" s="2"/>
      <c r="B14" s="2"/>
      <c r="C14" s="2"/>
    </row>
    <row r="15" spans="1:16" x14ac:dyDescent="0.35">
      <c r="A15" s="2"/>
      <c r="B15" s="2"/>
      <c r="C15" s="2"/>
    </row>
    <row r="16" spans="1:16" x14ac:dyDescent="0.35">
      <c r="A16" s="2"/>
      <c r="B16" s="2"/>
      <c r="C16" s="2"/>
    </row>
    <row r="17" spans="1:3" x14ac:dyDescent="0.35">
      <c r="A17" s="2"/>
      <c r="B17" s="2"/>
      <c r="C17" s="2"/>
    </row>
    <row r="18" spans="1:3" x14ac:dyDescent="0.35">
      <c r="A18" s="2"/>
      <c r="B18" s="2"/>
      <c r="C18" s="2"/>
    </row>
    <row r="19" spans="1:3" x14ac:dyDescent="0.35">
      <c r="A19" s="2"/>
      <c r="B19" s="2"/>
      <c r="C19" s="2"/>
    </row>
    <row r="20" spans="1:3" x14ac:dyDescent="0.35">
      <c r="A20" s="2"/>
      <c r="B20" s="2"/>
      <c r="C20" s="2"/>
    </row>
    <row r="21" spans="1:3" x14ac:dyDescent="0.35">
      <c r="A21" s="2"/>
      <c r="B21" s="2"/>
      <c r="C21" s="2"/>
    </row>
    <row r="22" spans="1:3" x14ac:dyDescent="0.35">
      <c r="A22" s="2"/>
      <c r="B22" s="2"/>
      <c r="C22" s="2"/>
    </row>
    <row r="23" spans="1:3" x14ac:dyDescent="0.35">
      <c r="A23" s="2"/>
      <c r="B23" s="2"/>
      <c r="C23" s="2"/>
    </row>
    <row r="24" spans="1:3" x14ac:dyDescent="0.35">
      <c r="A24" s="2"/>
      <c r="B24" s="2"/>
      <c r="C24" s="2"/>
    </row>
    <row r="25" spans="1:3" x14ac:dyDescent="0.35">
      <c r="A25" s="2"/>
      <c r="B25" s="2"/>
      <c r="C25" s="2"/>
    </row>
    <row r="26" spans="1:3" x14ac:dyDescent="0.35">
      <c r="A26" s="2"/>
      <c r="B26" s="2"/>
      <c r="C26" s="2"/>
    </row>
    <row r="27" spans="1:3" x14ac:dyDescent="0.35">
      <c r="A27" s="2"/>
      <c r="B27" s="2"/>
      <c r="C27" s="2"/>
    </row>
    <row r="28" spans="1:3" x14ac:dyDescent="0.35">
      <c r="A28" s="2"/>
      <c r="B28" s="2"/>
      <c r="C28" s="2"/>
    </row>
    <row r="29" spans="1:3" x14ac:dyDescent="0.35">
      <c r="A29" s="2"/>
      <c r="B29" s="2"/>
      <c r="C29" s="2"/>
    </row>
    <row r="30" spans="1:3" x14ac:dyDescent="0.35">
      <c r="A30" s="2"/>
      <c r="B30" s="2"/>
      <c r="C30" s="2"/>
    </row>
    <row r="31" spans="1:3" x14ac:dyDescent="0.35">
      <c r="A31" s="2"/>
      <c r="B31" s="2"/>
      <c r="C31" s="2"/>
    </row>
    <row r="32" spans="1:3" x14ac:dyDescent="0.35">
      <c r="A32" s="2"/>
      <c r="B32" s="2"/>
      <c r="C32" s="2"/>
    </row>
    <row r="33" spans="1:3" x14ac:dyDescent="0.35">
      <c r="A33" s="2"/>
      <c r="B33" s="2"/>
      <c r="C33" s="2"/>
    </row>
    <row r="34" spans="1:3" x14ac:dyDescent="0.35">
      <c r="A34" s="2"/>
      <c r="B34" s="2"/>
      <c r="C34" s="2"/>
    </row>
    <row r="35" spans="1:3" x14ac:dyDescent="0.35">
      <c r="A35" s="2"/>
      <c r="B35" s="2"/>
      <c r="C35" s="2"/>
    </row>
    <row r="36" spans="1:3" x14ac:dyDescent="0.35">
      <c r="A36" s="2"/>
      <c r="B36" s="2"/>
      <c r="C36" s="2"/>
    </row>
    <row r="37" spans="1:3" x14ac:dyDescent="0.35">
      <c r="A37" s="2"/>
      <c r="B37" s="2"/>
      <c r="C37" s="2"/>
    </row>
    <row r="38" spans="1:3" x14ac:dyDescent="0.35">
      <c r="A38" s="2"/>
      <c r="B38" s="2"/>
      <c r="C38" s="2"/>
    </row>
    <row r="39" spans="1:3" x14ac:dyDescent="0.35">
      <c r="A39" s="2"/>
      <c r="B39" s="2"/>
      <c r="C39" s="2"/>
    </row>
    <row r="40" spans="1:3" x14ac:dyDescent="0.35">
      <c r="A40" s="2"/>
      <c r="B40" s="2"/>
      <c r="C40" s="2"/>
    </row>
    <row r="41" spans="1:3" x14ac:dyDescent="0.35">
      <c r="A41" s="2"/>
      <c r="B41" s="2"/>
      <c r="C41" s="2"/>
    </row>
    <row r="42" spans="1:3" x14ac:dyDescent="0.35">
      <c r="A42" s="2"/>
      <c r="B42" s="2"/>
      <c r="C42" s="2"/>
    </row>
    <row r="43" spans="1:3" x14ac:dyDescent="0.35">
      <c r="A43" s="2"/>
      <c r="B43" s="2"/>
      <c r="C43" s="2"/>
    </row>
    <row r="44" spans="1:3" x14ac:dyDescent="0.35">
      <c r="A44" s="2"/>
      <c r="B44" s="2"/>
      <c r="C44" s="2"/>
    </row>
    <row r="45" spans="1:3" x14ac:dyDescent="0.35">
      <c r="A45" s="2"/>
      <c r="B45" s="2"/>
      <c r="C45" s="2"/>
    </row>
    <row r="46" spans="1:3" x14ac:dyDescent="0.35">
      <c r="A46" s="2"/>
      <c r="B46" s="2"/>
      <c r="C46" s="2"/>
    </row>
    <row r="47" spans="1:3" x14ac:dyDescent="0.35">
      <c r="A47" s="2"/>
      <c r="B47" s="2"/>
      <c r="C47" s="2"/>
    </row>
    <row r="48" spans="1:3" x14ac:dyDescent="0.35">
      <c r="A48" s="2"/>
      <c r="B48" s="2"/>
      <c r="C48" s="2"/>
    </row>
    <row r="49" spans="1:3" x14ac:dyDescent="0.35">
      <c r="A49" s="2"/>
      <c r="B49" s="2"/>
      <c r="C49" s="2"/>
    </row>
    <row r="50" spans="1:3" x14ac:dyDescent="0.35">
      <c r="A50" s="2"/>
      <c r="B50" s="2"/>
      <c r="C50" s="2"/>
    </row>
    <row r="51" spans="1:3" x14ac:dyDescent="0.35">
      <c r="A51" s="2"/>
      <c r="B51" s="2"/>
      <c r="C51" s="2"/>
    </row>
    <row r="52" spans="1:3" x14ac:dyDescent="0.35">
      <c r="A52" s="2"/>
      <c r="B52" s="2"/>
      <c r="C52" s="2"/>
    </row>
    <row r="53" spans="1:3" x14ac:dyDescent="0.35">
      <c r="A53" s="2"/>
      <c r="B53" s="2"/>
      <c r="C53" s="2"/>
    </row>
    <row r="54" spans="1:3" x14ac:dyDescent="0.35">
      <c r="A54" s="2"/>
      <c r="B54" s="2"/>
      <c r="C54" s="2"/>
    </row>
    <row r="55" spans="1:3" x14ac:dyDescent="0.35">
      <c r="A55" s="2"/>
      <c r="B55" s="2"/>
      <c r="C55" s="2"/>
    </row>
    <row r="56" spans="1:3" x14ac:dyDescent="0.35">
      <c r="A56" s="2"/>
      <c r="B56" s="2"/>
      <c r="C56" s="2"/>
    </row>
    <row r="57" spans="1:3" x14ac:dyDescent="0.35">
      <c r="A57" s="2"/>
      <c r="B57" s="2"/>
      <c r="C57" s="2"/>
    </row>
    <row r="58" spans="1:3" x14ac:dyDescent="0.35">
      <c r="A58" s="2"/>
      <c r="B58" s="2"/>
      <c r="C58" s="2"/>
    </row>
    <row r="59" spans="1:3" x14ac:dyDescent="0.35">
      <c r="A59" s="2"/>
      <c r="B59" s="2"/>
      <c r="C59" s="2"/>
    </row>
    <row r="60" spans="1:3" x14ac:dyDescent="0.35">
      <c r="A60" s="2"/>
      <c r="B60" s="2"/>
      <c r="C60" s="2"/>
    </row>
    <row r="61" spans="1:3" x14ac:dyDescent="0.35">
      <c r="A61" s="2"/>
      <c r="B61" s="2"/>
      <c r="C61" s="2"/>
    </row>
    <row r="62" spans="1:3" x14ac:dyDescent="0.35">
      <c r="A62" s="2"/>
      <c r="B62" s="2"/>
      <c r="C62" s="2"/>
    </row>
    <row r="63" spans="1:3" x14ac:dyDescent="0.35">
      <c r="A63" s="2"/>
      <c r="B63" s="2"/>
      <c r="C63" s="2"/>
    </row>
    <row r="64" spans="1:3" x14ac:dyDescent="0.35">
      <c r="A64" s="2"/>
      <c r="B64" s="2"/>
      <c r="C64" s="2"/>
    </row>
    <row r="65" spans="1:3" x14ac:dyDescent="0.35">
      <c r="A65" s="2"/>
      <c r="B65" s="2"/>
      <c r="C65" s="2"/>
    </row>
    <row r="66" spans="1:3" x14ac:dyDescent="0.35">
      <c r="A66" s="2"/>
      <c r="B66" s="2"/>
      <c r="C66" s="2"/>
    </row>
    <row r="67" spans="1:3" x14ac:dyDescent="0.35">
      <c r="A67" s="2"/>
      <c r="B67" s="2"/>
      <c r="C67" s="2"/>
    </row>
    <row r="68" spans="1:3" x14ac:dyDescent="0.35">
      <c r="A68" s="2"/>
      <c r="B68" s="2"/>
      <c r="C68" s="2"/>
    </row>
    <row r="69" spans="1:3" x14ac:dyDescent="0.35">
      <c r="A69" s="2"/>
      <c r="B69" s="2"/>
      <c r="C69" s="2"/>
    </row>
    <row r="70" spans="1:3" x14ac:dyDescent="0.35">
      <c r="A70" s="2"/>
      <c r="B70" s="2"/>
      <c r="C70" s="2"/>
    </row>
    <row r="71" spans="1:3" x14ac:dyDescent="0.35">
      <c r="A71" s="2"/>
      <c r="B71" s="2"/>
      <c r="C71" s="2"/>
    </row>
    <row r="72" spans="1:3" x14ac:dyDescent="0.35">
      <c r="A72" s="2"/>
      <c r="B72" s="2"/>
      <c r="C72" s="2"/>
    </row>
    <row r="73" spans="1:3" x14ac:dyDescent="0.35">
      <c r="A73" s="2"/>
      <c r="B73" s="2"/>
      <c r="C73" s="2"/>
    </row>
    <row r="74" spans="1:3" x14ac:dyDescent="0.35">
      <c r="A74" s="2"/>
      <c r="B74" s="2"/>
      <c r="C74" s="2"/>
    </row>
    <row r="75" spans="1:3" x14ac:dyDescent="0.35">
      <c r="A75" s="2"/>
      <c r="B75" s="2"/>
      <c r="C75" s="2"/>
    </row>
    <row r="76" spans="1:3" x14ac:dyDescent="0.35">
      <c r="A76" s="2"/>
      <c r="B76" s="2"/>
      <c r="C76" s="2"/>
    </row>
    <row r="77" spans="1:3" x14ac:dyDescent="0.35">
      <c r="A77" s="2"/>
      <c r="B77" s="2"/>
      <c r="C77" s="2"/>
    </row>
    <row r="78" spans="1:3" x14ac:dyDescent="0.35">
      <c r="A78" s="2"/>
      <c r="B78" s="2"/>
      <c r="C78" s="2"/>
    </row>
    <row r="79" spans="1:3" x14ac:dyDescent="0.35">
      <c r="A79" s="2"/>
      <c r="B79" s="2"/>
      <c r="C79" s="2"/>
    </row>
    <row r="80" spans="1:3" x14ac:dyDescent="0.35">
      <c r="A80" s="2"/>
      <c r="B80" s="2"/>
      <c r="C80" s="2"/>
    </row>
    <row r="81" spans="1:3" x14ac:dyDescent="0.35">
      <c r="A81" s="2"/>
      <c r="B81" s="2"/>
      <c r="C81" s="2"/>
    </row>
    <row r="82" spans="1:3" x14ac:dyDescent="0.35">
      <c r="A82" s="2"/>
      <c r="B82" s="2"/>
      <c r="C82" s="2"/>
    </row>
    <row r="83" spans="1:3" x14ac:dyDescent="0.35">
      <c r="A83" s="2"/>
      <c r="B83" s="2"/>
      <c r="C83" s="2"/>
    </row>
    <row r="84" spans="1:3" x14ac:dyDescent="0.35">
      <c r="A84" s="2"/>
      <c r="B84" s="2"/>
      <c r="C84" s="2"/>
    </row>
    <row r="85" spans="1:3" x14ac:dyDescent="0.35">
      <c r="A85" s="2"/>
      <c r="B85" s="2"/>
      <c r="C85" s="2"/>
    </row>
    <row r="86" spans="1:3" x14ac:dyDescent="0.35">
      <c r="A86" s="2"/>
      <c r="B86" s="2"/>
      <c r="C86" s="2"/>
    </row>
    <row r="87" spans="1:3" x14ac:dyDescent="0.35">
      <c r="A87" s="2"/>
      <c r="B87" s="2"/>
      <c r="C87" s="2"/>
    </row>
    <row r="88" spans="1:3" x14ac:dyDescent="0.35">
      <c r="A88" s="2"/>
      <c r="B88" s="2"/>
      <c r="C88" s="2"/>
    </row>
    <row r="89" spans="1:3" x14ac:dyDescent="0.35">
      <c r="A89" s="2"/>
      <c r="B89" s="2"/>
      <c r="C89" s="2"/>
    </row>
    <row r="90" spans="1:3" x14ac:dyDescent="0.35">
      <c r="A90" s="2"/>
      <c r="B90" s="2"/>
      <c r="C90" s="2"/>
    </row>
    <row r="91" spans="1:3" x14ac:dyDescent="0.35">
      <c r="A91" s="2"/>
      <c r="B91" s="2"/>
      <c r="C91" s="2"/>
    </row>
    <row r="92" spans="1:3" x14ac:dyDescent="0.35">
      <c r="A92" s="2"/>
      <c r="B92" s="2"/>
      <c r="C92" s="2"/>
    </row>
    <row r="93" spans="1:3" x14ac:dyDescent="0.35">
      <c r="A93" s="2"/>
      <c r="B93" s="2"/>
      <c r="C93" s="2"/>
    </row>
    <row r="94" spans="1:3" x14ac:dyDescent="0.35">
      <c r="A94" s="2"/>
      <c r="B94" s="2"/>
      <c r="C94" s="2"/>
    </row>
    <row r="95" spans="1:3" x14ac:dyDescent="0.35">
      <c r="A95" s="2"/>
      <c r="B95" s="2"/>
      <c r="C95" s="2"/>
    </row>
    <row r="96" spans="1:3" x14ac:dyDescent="0.35">
      <c r="A96" s="2"/>
      <c r="B96" s="2"/>
      <c r="C96" s="2"/>
    </row>
    <row r="97" spans="1:3" x14ac:dyDescent="0.35">
      <c r="A97" s="2"/>
      <c r="B97" s="2"/>
      <c r="C97" s="2"/>
    </row>
    <row r="98" spans="1:3" x14ac:dyDescent="0.35">
      <c r="A98" s="2"/>
      <c r="B98" s="2"/>
      <c r="C98" s="2"/>
    </row>
    <row r="99" spans="1:3" x14ac:dyDescent="0.35">
      <c r="A99" s="2"/>
      <c r="B99" s="2"/>
      <c r="C99" s="2"/>
    </row>
    <row r="100" spans="1:3" x14ac:dyDescent="0.35">
      <c r="A100" s="2"/>
      <c r="B100" s="2"/>
      <c r="C100" s="2"/>
    </row>
  </sheetData>
  <mergeCells count="1">
    <mergeCell ref="A1:P1"/>
  </mergeCells>
  <pageMargins left="0.6" right="0.6" top="0.3" bottom="0.4" header="0.3" footer="0.3"/>
  <pageSetup paperSize="9" scale="85" fitToHeight="0" orientation="landscape" r:id="rId1"/>
  <headerFooter>
    <oddFooter>&amp;L&amp;BPagina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07"/>
  <sheetViews>
    <sheetView workbookViewId="0">
      <selection sqref="A1:L1"/>
    </sheetView>
  </sheetViews>
  <sheetFormatPr baseColWidth="10" defaultColWidth="8.7265625" defaultRowHeight="14.5" x14ac:dyDescent="0.35"/>
  <cols>
    <col min="1" max="2" width="38" customWidth="1"/>
    <col min="3" max="3" width="54" customWidth="1"/>
    <col min="4" max="9" width="27" customWidth="1"/>
    <col min="10" max="12" width="15" customWidth="1"/>
  </cols>
  <sheetData>
    <row r="1" spans="1:12" ht="98" customHeigh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35">
      <c r="A2" s="1" t="s">
        <v>1</v>
      </c>
      <c r="B2" s="1" t="s">
        <v>9</v>
      </c>
      <c r="C2" s="1" t="s">
        <v>17</v>
      </c>
      <c r="D2" s="1" t="s">
        <v>30</v>
      </c>
      <c r="E2" s="1" t="s">
        <v>36</v>
      </c>
      <c r="F2" s="1" t="s">
        <v>40</v>
      </c>
      <c r="G2" s="1" t="s">
        <v>46</v>
      </c>
      <c r="H2" s="1" t="s">
        <v>53</v>
      </c>
      <c r="I2" s="1" t="s">
        <v>62</v>
      </c>
      <c r="J2" s="1" t="s">
        <v>64</v>
      </c>
      <c r="K2" s="1" t="s">
        <v>65</v>
      </c>
      <c r="L2" s="1" t="s">
        <v>67</v>
      </c>
    </row>
    <row r="3" spans="1:12" x14ac:dyDescent="0.35">
      <c r="A3" s="3" t="s">
        <v>3</v>
      </c>
      <c r="B3" s="3" t="s">
        <v>11</v>
      </c>
      <c r="C3" s="3" t="s">
        <v>68</v>
      </c>
      <c r="D3" s="3" t="s">
        <v>32</v>
      </c>
      <c r="E3" s="3" t="s">
        <v>37</v>
      </c>
      <c r="F3" s="3" t="s">
        <v>41</v>
      </c>
      <c r="G3" s="3" t="s">
        <v>48</v>
      </c>
      <c r="H3" s="3" t="s">
        <v>55</v>
      </c>
      <c r="I3" s="3" t="s">
        <v>63</v>
      </c>
      <c r="J3" s="3">
        <v>17.068498000000002</v>
      </c>
      <c r="K3" s="3" t="s">
        <v>69</v>
      </c>
      <c r="L3" s="3" t="str">
        <f>HYPERLINK("https://maps.google.com/?q=17.068498,-96.720205 ", "🔗 Ver Mapa")</f>
        <v>🔗 Ver Mapa</v>
      </c>
    </row>
    <row r="4" spans="1:12" x14ac:dyDescent="0.35">
      <c r="A4" s="4" t="s">
        <v>3</v>
      </c>
      <c r="B4" s="4" t="s">
        <v>11</v>
      </c>
      <c r="C4" s="4" t="s">
        <v>70</v>
      </c>
      <c r="D4" s="4" t="s">
        <v>32</v>
      </c>
      <c r="E4" s="4" t="s">
        <v>38</v>
      </c>
      <c r="F4" s="4" t="s">
        <v>43</v>
      </c>
      <c r="G4" s="4" t="s">
        <v>71</v>
      </c>
      <c r="H4" s="4" t="s">
        <v>72</v>
      </c>
      <c r="I4" s="4" t="s">
        <v>63</v>
      </c>
      <c r="J4" s="4">
        <v>15.66338</v>
      </c>
      <c r="K4" s="4">
        <v>-96.521293999999997</v>
      </c>
      <c r="L4" s="4" t="str">
        <f>HYPERLINK("https://maps.google.com/?q=15.66338,-96.521294", "🔗 Ver Mapa")</f>
        <v>🔗 Ver Mapa</v>
      </c>
    </row>
    <row r="5" spans="1:12" ht="29" x14ac:dyDescent="0.35">
      <c r="A5" s="5" t="s">
        <v>2</v>
      </c>
      <c r="B5" s="5" t="s">
        <v>10</v>
      </c>
      <c r="C5" s="5" t="s">
        <v>18</v>
      </c>
      <c r="D5" s="5" t="s">
        <v>31</v>
      </c>
      <c r="E5" s="5" t="s">
        <v>37</v>
      </c>
      <c r="F5" s="5" t="s">
        <v>41</v>
      </c>
      <c r="G5" s="5" t="s">
        <v>47</v>
      </c>
      <c r="H5" s="5" t="s">
        <v>54</v>
      </c>
      <c r="I5" s="5" t="s">
        <v>63</v>
      </c>
      <c r="J5" s="5">
        <v>17.055066847764</v>
      </c>
      <c r="K5" s="5">
        <v>-96.653854084570995</v>
      </c>
      <c r="L5" s="5" t="str">
        <f>HYPERLINK("https://maps.google.com/?q=17.055066847764078,-96.65385408457124", "🔗 Ver Mapa")</f>
        <v>🔗 Ver Mapa</v>
      </c>
    </row>
    <row r="6" spans="1:12" ht="29" x14ac:dyDescent="0.35">
      <c r="A6" s="6" t="s">
        <v>3</v>
      </c>
      <c r="B6" s="6" t="s">
        <v>11</v>
      </c>
      <c r="C6" s="6" t="s">
        <v>19</v>
      </c>
      <c r="D6" s="6" t="s">
        <v>32</v>
      </c>
      <c r="E6" s="6" t="s">
        <v>37</v>
      </c>
      <c r="F6" s="6" t="s">
        <v>41</v>
      </c>
      <c r="G6" s="6" t="s">
        <v>48</v>
      </c>
      <c r="H6" s="6" t="s">
        <v>55</v>
      </c>
      <c r="I6" s="6" t="s">
        <v>63</v>
      </c>
      <c r="J6" s="6">
        <v>17.068498000000002</v>
      </c>
      <c r="K6" s="6">
        <v>-96.720205000000007</v>
      </c>
      <c r="L6" s="6" t="str">
        <f>HYPERLINK("https://maps.google.com/?q=17.068498,-96.720205", "🔗 Ver Mapa")</f>
        <v>🔗 Ver Mapa</v>
      </c>
    </row>
    <row r="7" spans="1:12" ht="29" x14ac:dyDescent="0.35">
      <c r="A7" s="5" t="s">
        <v>4</v>
      </c>
      <c r="B7" s="5" t="s">
        <v>12</v>
      </c>
      <c r="C7" s="5" t="s">
        <v>20</v>
      </c>
      <c r="D7" s="5" t="s">
        <v>33</v>
      </c>
      <c r="E7" s="5" t="s">
        <v>37</v>
      </c>
      <c r="F7" s="5" t="s">
        <v>42</v>
      </c>
      <c r="G7" s="5" t="s">
        <v>49</v>
      </c>
      <c r="H7" s="5" t="s">
        <v>56</v>
      </c>
      <c r="I7" s="5" t="s">
        <v>63</v>
      </c>
      <c r="J7" s="5">
        <v>17.068626900000002</v>
      </c>
      <c r="K7" s="5">
        <v>-96.730726000000004</v>
      </c>
      <c r="L7" s="5" t="str">
        <f>HYPERLINK("https://maps.google.com/?q=17.0686269,-96.730726", "🔗 Ver Mapa")</f>
        <v>🔗 Ver Mapa</v>
      </c>
    </row>
    <row r="8" spans="1:12" ht="29" x14ac:dyDescent="0.35">
      <c r="A8" s="6" t="s">
        <v>5</v>
      </c>
      <c r="B8" s="6" t="s">
        <v>13</v>
      </c>
      <c r="C8" s="6" t="s">
        <v>21</v>
      </c>
      <c r="D8" s="6" t="s">
        <v>31</v>
      </c>
      <c r="E8" s="6" t="s">
        <v>37</v>
      </c>
      <c r="F8" s="6" t="s">
        <v>41</v>
      </c>
      <c r="G8" s="6" t="s">
        <v>48</v>
      </c>
      <c r="H8" s="6" t="s">
        <v>55</v>
      </c>
      <c r="I8" s="6" t="s">
        <v>63</v>
      </c>
      <c r="J8" s="6">
        <v>17.078447594107999</v>
      </c>
      <c r="K8" s="6">
        <v>-96.711226860438998</v>
      </c>
      <c r="L8" s="6" t="str">
        <f>HYPERLINK("https://maps.google.com/?q=17.0784475941075,-96.71122686043876", "🔗 Ver Mapa")</f>
        <v>🔗 Ver Mapa</v>
      </c>
    </row>
    <row r="9" spans="1:12" ht="43.5" x14ac:dyDescent="0.35">
      <c r="A9" s="5" t="s">
        <v>5</v>
      </c>
      <c r="B9" s="5" t="s">
        <v>13</v>
      </c>
      <c r="C9" s="5" t="s">
        <v>21</v>
      </c>
      <c r="D9" s="5" t="s">
        <v>31</v>
      </c>
      <c r="E9" s="5" t="s">
        <v>37</v>
      </c>
      <c r="F9" s="5" t="s">
        <v>41</v>
      </c>
      <c r="G9" s="5" t="s">
        <v>48</v>
      </c>
      <c r="H9" s="5" t="s">
        <v>55</v>
      </c>
      <c r="I9" s="5" t="s">
        <v>63</v>
      </c>
      <c r="J9" s="5">
        <v>17.078447594107999</v>
      </c>
      <c r="K9" s="5" t="s">
        <v>66</v>
      </c>
      <c r="L9" s="5" t="str">
        <f>HYPERLINK("https://maps.google.com/?q=17.0784475941075,	-96.71122686043876", "🔗 Ver Mapa")</f>
        <v>🔗 Ver Mapa</v>
      </c>
    </row>
    <row r="10" spans="1:12" ht="43.5" x14ac:dyDescent="0.35">
      <c r="A10" s="6" t="s">
        <v>6</v>
      </c>
      <c r="B10" s="6" t="s">
        <v>14</v>
      </c>
      <c r="C10" s="6" t="s">
        <v>22</v>
      </c>
      <c r="D10" s="6" t="s">
        <v>31</v>
      </c>
      <c r="E10" s="6" t="s">
        <v>37</v>
      </c>
      <c r="F10" s="6" t="s">
        <v>41</v>
      </c>
      <c r="G10" s="6" t="s">
        <v>48</v>
      </c>
      <c r="H10" s="6" t="s">
        <v>55</v>
      </c>
      <c r="I10" s="6" t="s">
        <v>63</v>
      </c>
      <c r="J10" s="6">
        <v>17.068673911575999</v>
      </c>
      <c r="K10" s="6">
        <v>-96.730812740342998</v>
      </c>
      <c r="L10" s="6" t="str">
        <f>HYPERLINK("https://maps.google.com/?q=17.068673911576067,-96.73081274034334", "🔗 Ver Mapa")</f>
        <v>🔗 Ver Mapa</v>
      </c>
    </row>
    <row r="11" spans="1:12" ht="29" x14ac:dyDescent="0.35">
      <c r="A11" s="5" t="s">
        <v>3</v>
      </c>
      <c r="B11" s="5" t="s">
        <v>11</v>
      </c>
      <c r="C11" s="5" t="s">
        <v>23</v>
      </c>
      <c r="D11" s="5" t="s">
        <v>32</v>
      </c>
      <c r="E11" s="5" t="s">
        <v>37</v>
      </c>
      <c r="F11" s="5" t="s">
        <v>41</v>
      </c>
      <c r="G11" s="5" t="s">
        <v>48</v>
      </c>
      <c r="H11" s="5" t="s">
        <v>55</v>
      </c>
      <c r="I11" s="5" t="s">
        <v>63</v>
      </c>
      <c r="J11" s="5">
        <v>17.068498000000002</v>
      </c>
      <c r="K11" s="5">
        <v>-96.720205000000007</v>
      </c>
      <c r="L11" s="5" t="str">
        <f>HYPERLINK("https://maps.google.com/?q=17.068498,-96.720205", "🔗 Ver Mapa")</f>
        <v>🔗 Ver Mapa</v>
      </c>
    </row>
    <row r="12" spans="1:12" ht="29" x14ac:dyDescent="0.35">
      <c r="A12" s="6" t="s">
        <v>3</v>
      </c>
      <c r="B12" s="6" t="s">
        <v>11</v>
      </c>
      <c r="C12" s="6" t="s">
        <v>24</v>
      </c>
      <c r="D12" s="6" t="s">
        <v>32</v>
      </c>
      <c r="E12" s="6" t="s">
        <v>38</v>
      </c>
      <c r="F12" s="6" t="s">
        <v>43</v>
      </c>
      <c r="G12" s="6" t="s">
        <v>50</v>
      </c>
      <c r="H12" s="6" t="s">
        <v>57</v>
      </c>
      <c r="I12" s="6" t="s">
        <v>63</v>
      </c>
      <c r="J12" s="6">
        <v>15.665353</v>
      </c>
      <c r="K12" s="6">
        <v>-96.543197000000006</v>
      </c>
      <c r="L12" s="6" t="str">
        <f>HYPERLINK("https://maps.google.com/?q=15.665353,-96.543197", "🔗 Ver Mapa")</f>
        <v>🔗 Ver Mapa</v>
      </c>
    </row>
    <row r="13" spans="1:12" ht="43.5" x14ac:dyDescent="0.35">
      <c r="A13" s="5" t="s">
        <v>7</v>
      </c>
      <c r="B13" s="5" t="s">
        <v>15</v>
      </c>
      <c r="C13" s="5" t="s">
        <v>25</v>
      </c>
      <c r="D13" s="5" t="s">
        <v>34</v>
      </c>
      <c r="E13" s="5" t="s">
        <v>37</v>
      </c>
      <c r="F13" s="5" t="s">
        <v>41</v>
      </c>
      <c r="G13" s="5" t="s">
        <v>48</v>
      </c>
      <c r="H13" s="5" t="s">
        <v>55</v>
      </c>
      <c r="I13" s="5" t="s">
        <v>63</v>
      </c>
      <c r="J13" s="5">
        <v>17.067991930285</v>
      </c>
      <c r="K13" s="5">
        <v>-96.729265552607004</v>
      </c>
      <c r="L13" s="5" t="str">
        <f>HYPERLINK("https://maps.google.com/?q=17.067991930285,-96.7292655526066", "🔗 Ver Mapa")</f>
        <v>🔗 Ver Mapa</v>
      </c>
    </row>
    <row r="14" spans="1:12" ht="43.5" x14ac:dyDescent="0.35">
      <c r="A14" s="6" t="s">
        <v>8</v>
      </c>
      <c r="B14" s="6" t="s">
        <v>16</v>
      </c>
      <c r="C14" s="6" t="s">
        <v>26</v>
      </c>
      <c r="D14" s="6" t="s">
        <v>35</v>
      </c>
      <c r="E14" s="6" t="s">
        <v>39</v>
      </c>
      <c r="F14" s="6" t="s">
        <v>44</v>
      </c>
      <c r="G14" s="6" t="s">
        <v>51</v>
      </c>
      <c r="H14" s="6" t="s">
        <v>58</v>
      </c>
      <c r="I14" s="6" t="s">
        <v>63</v>
      </c>
      <c r="J14" s="6">
        <v>15.979426370000001</v>
      </c>
      <c r="K14" s="6">
        <v>-95.675249870000002</v>
      </c>
      <c r="L14" s="6" t="str">
        <f>HYPERLINK("https://maps.google.com/?q=15.97942637,-95.675249870000002", "🔗 Ver Mapa")</f>
        <v>🔗 Ver Mapa</v>
      </c>
    </row>
    <row r="15" spans="1:12" ht="43.5" x14ac:dyDescent="0.35">
      <c r="A15" s="5" t="s">
        <v>8</v>
      </c>
      <c r="B15" s="5" t="s">
        <v>16</v>
      </c>
      <c r="C15" s="5" t="s">
        <v>26</v>
      </c>
      <c r="D15" s="5" t="s">
        <v>35</v>
      </c>
      <c r="E15" s="5" t="s">
        <v>39</v>
      </c>
      <c r="F15" s="5" t="s">
        <v>44</v>
      </c>
      <c r="G15" s="5" t="s">
        <v>51</v>
      </c>
      <c r="H15" s="5" t="s">
        <v>58</v>
      </c>
      <c r="I15" s="5" t="s">
        <v>63</v>
      </c>
      <c r="J15" s="5">
        <v>15.97977655</v>
      </c>
      <c r="K15" s="5">
        <v>-95.674330699999999</v>
      </c>
      <c r="L15" s="5" t="str">
        <f>HYPERLINK("https://maps.google.com/?q=15.97977655,-95.674330699999999", "🔗 Ver Mapa")</f>
        <v>🔗 Ver Mapa</v>
      </c>
    </row>
    <row r="16" spans="1:12" ht="43.5" x14ac:dyDescent="0.35">
      <c r="A16" s="6" t="s">
        <v>8</v>
      </c>
      <c r="B16" s="6" t="s">
        <v>16</v>
      </c>
      <c r="C16" s="6" t="s">
        <v>26</v>
      </c>
      <c r="D16" s="6" t="s">
        <v>35</v>
      </c>
      <c r="E16" s="6" t="s">
        <v>39</v>
      </c>
      <c r="F16" s="6" t="s">
        <v>44</v>
      </c>
      <c r="G16" s="6" t="s">
        <v>51</v>
      </c>
      <c r="H16" s="6" t="s">
        <v>58</v>
      </c>
      <c r="I16" s="6" t="s">
        <v>63</v>
      </c>
      <c r="J16" s="6">
        <v>15.98032063</v>
      </c>
      <c r="K16" s="6">
        <v>-95.676599850000002</v>
      </c>
      <c r="L16" s="6" t="str">
        <f>HYPERLINK("https://maps.google.com/?q=15.98032063,-95.676599850000002", "🔗 Ver Mapa")</f>
        <v>🔗 Ver Mapa</v>
      </c>
    </row>
    <row r="17" spans="1:12" ht="43.5" x14ac:dyDescent="0.35">
      <c r="A17" s="5" t="s">
        <v>8</v>
      </c>
      <c r="B17" s="5" t="s">
        <v>16</v>
      </c>
      <c r="C17" s="5" t="s">
        <v>26</v>
      </c>
      <c r="D17" s="5" t="s">
        <v>35</v>
      </c>
      <c r="E17" s="5" t="s">
        <v>39</v>
      </c>
      <c r="F17" s="5" t="s">
        <v>44</v>
      </c>
      <c r="G17" s="5" t="s">
        <v>51</v>
      </c>
      <c r="H17" s="5" t="s">
        <v>58</v>
      </c>
      <c r="I17" s="5" t="s">
        <v>63</v>
      </c>
      <c r="J17" s="5">
        <v>15.980583640000001</v>
      </c>
      <c r="K17" s="5">
        <v>-95.674459450000001</v>
      </c>
      <c r="L17" s="5" t="str">
        <f>HYPERLINK("https://maps.google.com/?q=15.98058364,-95.674459450000001", "🔗 Ver Mapa")</f>
        <v>🔗 Ver Mapa</v>
      </c>
    </row>
    <row r="18" spans="1:12" ht="43.5" x14ac:dyDescent="0.35">
      <c r="A18" s="6" t="s">
        <v>8</v>
      </c>
      <c r="B18" s="6" t="s">
        <v>16</v>
      </c>
      <c r="C18" s="6" t="s">
        <v>26</v>
      </c>
      <c r="D18" s="6" t="s">
        <v>35</v>
      </c>
      <c r="E18" s="6" t="s">
        <v>39</v>
      </c>
      <c r="F18" s="6" t="s">
        <v>44</v>
      </c>
      <c r="G18" s="6" t="s">
        <v>51</v>
      </c>
      <c r="H18" s="6" t="s">
        <v>58</v>
      </c>
      <c r="I18" s="6" t="s">
        <v>63</v>
      </c>
      <c r="J18" s="6">
        <v>15.9805899</v>
      </c>
      <c r="K18" s="6">
        <v>-95.67629694</v>
      </c>
      <c r="L18" s="6" t="str">
        <f>HYPERLINK("https://maps.google.com/?q=15.9805899,-95.67629694", "🔗 Ver Mapa")</f>
        <v>🔗 Ver Mapa</v>
      </c>
    </row>
    <row r="19" spans="1:12" ht="43.5" x14ac:dyDescent="0.35">
      <c r="A19" s="5" t="s">
        <v>8</v>
      </c>
      <c r="B19" s="5" t="s">
        <v>16</v>
      </c>
      <c r="C19" s="5" t="s">
        <v>26</v>
      </c>
      <c r="D19" s="5" t="s">
        <v>35</v>
      </c>
      <c r="E19" s="5" t="s">
        <v>39</v>
      </c>
      <c r="F19" s="5" t="s">
        <v>44</v>
      </c>
      <c r="G19" s="5" t="s">
        <v>51</v>
      </c>
      <c r="H19" s="5" t="s">
        <v>58</v>
      </c>
      <c r="I19" s="5" t="s">
        <v>63</v>
      </c>
      <c r="J19" s="5">
        <v>15.980614109999999</v>
      </c>
      <c r="K19" s="5">
        <v>-95.675281740000003</v>
      </c>
      <c r="L19" s="5" t="str">
        <f>HYPERLINK("https://maps.google.com/?q=15.98061411,-95.675281740000003", "🔗 Ver Mapa")</f>
        <v>🔗 Ver Mapa</v>
      </c>
    </row>
    <row r="20" spans="1:12" ht="43.5" x14ac:dyDescent="0.35">
      <c r="A20" s="6" t="s">
        <v>8</v>
      </c>
      <c r="B20" s="6" t="s">
        <v>16</v>
      </c>
      <c r="C20" s="6" t="s">
        <v>26</v>
      </c>
      <c r="D20" s="6" t="s">
        <v>35</v>
      </c>
      <c r="E20" s="6" t="s">
        <v>39</v>
      </c>
      <c r="F20" s="6" t="s">
        <v>44</v>
      </c>
      <c r="G20" s="6" t="s">
        <v>51</v>
      </c>
      <c r="H20" s="6" t="s">
        <v>58</v>
      </c>
      <c r="I20" s="6" t="s">
        <v>63</v>
      </c>
      <c r="J20" s="6">
        <v>15.980735320000001</v>
      </c>
      <c r="K20" s="6">
        <v>-95.675526550000001</v>
      </c>
      <c r="L20" s="6" t="str">
        <f>HYPERLINK("https://maps.google.com/?q=15.98073532,-95.675526550000001", "🔗 Ver Mapa")</f>
        <v>🔗 Ver Mapa</v>
      </c>
    </row>
    <row r="21" spans="1:12" ht="43.5" x14ac:dyDescent="0.35">
      <c r="A21" s="5" t="s">
        <v>8</v>
      </c>
      <c r="B21" s="5" t="s">
        <v>16</v>
      </c>
      <c r="C21" s="5" t="s">
        <v>26</v>
      </c>
      <c r="D21" s="5" t="s">
        <v>35</v>
      </c>
      <c r="E21" s="5" t="s">
        <v>39</v>
      </c>
      <c r="F21" s="5" t="s">
        <v>44</v>
      </c>
      <c r="G21" s="5" t="s">
        <v>51</v>
      </c>
      <c r="H21" s="5" t="s">
        <v>58</v>
      </c>
      <c r="I21" s="5" t="s">
        <v>63</v>
      </c>
      <c r="J21" s="5">
        <v>15.980844579999999</v>
      </c>
      <c r="K21" s="5">
        <v>-95.676543150000001</v>
      </c>
      <c r="L21" s="5" t="str">
        <f>HYPERLINK("https://maps.google.com/?q=15.98084458,-95.676543150000001", "🔗 Ver Mapa")</f>
        <v>🔗 Ver Mapa</v>
      </c>
    </row>
    <row r="22" spans="1:12" ht="43.5" x14ac:dyDescent="0.35">
      <c r="A22" s="6" t="s">
        <v>8</v>
      </c>
      <c r="B22" s="6" t="s">
        <v>16</v>
      </c>
      <c r="C22" s="6" t="s">
        <v>26</v>
      </c>
      <c r="D22" s="6" t="s">
        <v>35</v>
      </c>
      <c r="E22" s="6" t="s">
        <v>39</v>
      </c>
      <c r="F22" s="6" t="s">
        <v>44</v>
      </c>
      <c r="G22" s="6" t="s">
        <v>51</v>
      </c>
      <c r="H22" s="6" t="s">
        <v>58</v>
      </c>
      <c r="I22" s="6" t="s">
        <v>63</v>
      </c>
      <c r="J22" s="6">
        <v>15.983474899999999</v>
      </c>
      <c r="K22" s="6">
        <v>-95.67941836</v>
      </c>
      <c r="L22" s="6" t="str">
        <f>HYPERLINK("https://maps.google.com/?q=15.9834749,-95.67941836", "🔗 Ver Mapa")</f>
        <v>🔗 Ver Mapa</v>
      </c>
    </row>
    <row r="23" spans="1:12" ht="43.5" x14ac:dyDescent="0.35">
      <c r="A23" s="5" t="s">
        <v>8</v>
      </c>
      <c r="B23" s="5" t="s">
        <v>16</v>
      </c>
      <c r="C23" s="5" t="s">
        <v>26</v>
      </c>
      <c r="D23" s="5" t="s">
        <v>35</v>
      </c>
      <c r="E23" s="5" t="s">
        <v>39</v>
      </c>
      <c r="F23" s="5" t="s">
        <v>44</v>
      </c>
      <c r="G23" s="5" t="s">
        <v>51</v>
      </c>
      <c r="H23" s="5" t="s">
        <v>58</v>
      </c>
      <c r="I23" s="5" t="s">
        <v>63</v>
      </c>
      <c r="J23" s="5">
        <v>15.985363619999999</v>
      </c>
      <c r="K23" s="5">
        <v>-95.67527681</v>
      </c>
      <c r="L23" s="5" t="str">
        <f>HYPERLINK("https://maps.google.com/?q=15.98536362,-95.67527681", "🔗 Ver Mapa")</f>
        <v>🔗 Ver Mapa</v>
      </c>
    </row>
    <row r="24" spans="1:12" ht="43.5" x14ac:dyDescent="0.35">
      <c r="A24" s="6" t="s">
        <v>8</v>
      </c>
      <c r="B24" s="6" t="s">
        <v>16</v>
      </c>
      <c r="C24" s="6" t="s">
        <v>26</v>
      </c>
      <c r="D24" s="6" t="s">
        <v>35</v>
      </c>
      <c r="E24" s="6" t="s">
        <v>39</v>
      </c>
      <c r="F24" s="6" t="s">
        <v>44</v>
      </c>
      <c r="G24" s="6" t="s">
        <v>51</v>
      </c>
      <c r="H24" s="6" t="s">
        <v>58</v>
      </c>
      <c r="I24" s="6" t="s">
        <v>63</v>
      </c>
      <c r="J24" s="6">
        <v>15.98583144</v>
      </c>
      <c r="K24" s="6">
        <v>-95.677348069999994</v>
      </c>
      <c r="L24" s="6" t="str">
        <f>HYPERLINK("https://maps.google.com/?q=15.98583144,-95.677348069999994", "🔗 Ver Mapa")</f>
        <v>🔗 Ver Mapa</v>
      </c>
    </row>
    <row r="25" spans="1:12" ht="43.5" x14ac:dyDescent="0.35">
      <c r="A25" s="5" t="s">
        <v>8</v>
      </c>
      <c r="B25" s="5" t="s">
        <v>16</v>
      </c>
      <c r="C25" s="5" t="s">
        <v>26</v>
      </c>
      <c r="D25" s="5" t="s">
        <v>35</v>
      </c>
      <c r="E25" s="5" t="s">
        <v>39</v>
      </c>
      <c r="F25" s="5" t="s">
        <v>44</v>
      </c>
      <c r="G25" s="5" t="s">
        <v>51</v>
      </c>
      <c r="H25" s="5" t="s">
        <v>58</v>
      </c>
      <c r="I25" s="5" t="s">
        <v>63</v>
      </c>
      <c r="J25" s="5">
        <v>15.986140860000001</v>
      </c>
      <c r="K25" s="5">
        <v>-95.675604629999995</v>
      </c>
      <c r="L25" s="5" t="str">
        <f>HYPERLINK("https://maps.google.com/?q=15.98614086,-95.675604629999995", "🔗 Ver Mapa")</f>
        <v>🔗 Ver Mapa</v>
      </c>
    </row>
    <row r="26" spans="1:12" ht="43.5" x14ac:dyDescent="0.35">
      <c r="A26" s="6" t="s">
        <v>8</v>
      </c>
      <c r="B26" s="6" t="s">
        <v>16</v>
      </c>
      <c r="C26" s="6" t="s">
        <v>26</v>
      </c>
      <c r="D26" s="6" t="s">
        <v>35</v>
      </c>
      <c r="E26" s="6" t="s">
        <v>39</v>
      </c>
      <c r="F26" s="6" t="s">
        <v>44</v>
      </c>
      <c r="G26" s="6" t="s">
        <v>51</v>
      </c>
      <c r="H26" s="6" t="s">
        <v>58</v>
      </c>
      <c r="I26" s="6" t="s">
        <v>63</v>
      </c>
      <c r="J26" s="6">
        <v>15.986487840000001</v>
      </c>
      <c r="K26" s="6">
        <v>-95.672776990000003</v>
      </c>
      <c r="L26" s="6" t="str">
        <f>HYPERLINK("https://maps.google.com/?q=15.98648784,-95.672776990000003", "🔗 Ver Mapa")</f>
        <v>🔗 Ver Mapa</v>
      </c>
    </row>
    <row r="27" spans="1:12" ht="43.5" x14ac:dyDescent="0.35">
      <c r="A27" s="5" t="s">
        <v>8</v>
      </c>
      <c r="B27" s="5" t="s">
        <v>16</v>
      </c>
      <c r="C27" s="5" t="s">
        <v>26</v>
      </c>
      <c r="D27" s="5" t="s">
        <v>35</v>
      </c>
      <c r="E27" s="5" t="s">
        <v>39</v>
      </c>
      <c r="F27" s="5" t="s">
        <v>44</v>
      </c>
      <c r="G27" s="5" t="s">
        <v>51</v>
      </c>
      <c r="H27" s="5" t="s">
        <v>58</v>
      </c>
      <c r="I27" s="5" t="s">
        <v>63</v>
      </c>
      <c r="J27" s="5">
        <v>15.986977749999999</v>
      </c>
      <c r="K27" s="5">
        <v>-95.673232960000007</v>
      </c>
      <c r="L27" s="5" t="str">
        <f>HYPERLINK("https://maps.google.com/?q=15.98697775,-95.673232960000007", "🔗 Ver Mapa")</f>
        <v>🔗 Ver Mapa</v>
      </c>
    </row>
    <row r="28" spans="1:12" ht="43.5" x14ac:dyDescent="0.35">
      <c r="A28" s="6" t="s">
        <v>8</v>
      </c>
      <c r="B28" s="6" t="s">
        <v>16</v>
      </c>
      <c r="C28" s="6" t="s">
        <v>26</v>
      </c>
      <c r="D28" s="6" t="s">
        <v>35</v>
      </c>
      <c r="E28" s="6" t="s">
        <v>39</v>
      </c>
      <c r="F28" s="6" t="s">
        <v>44</v>
      </c>
      <c r="G28" s="6" t="s">
        <v>51</v>
      </c>
      <c r="H28" s="6" t="s">
        <v>58</v>
      </c>
      <c r="I28" s="6" t="s">
        <v>63</v>
      </c>
      <c r="J28" s="6">
        <v>15.98742386</v>
      </c>
      <c r="K28" s="6">
        <v>-95.674869330000007</v>
      </c>
      <c r="L28" s="6" t="str">
        <f>HYPERLINK("https://maps.google.com/?q=15.98742386,-95.674869330000007", "🔗 Ver Mapa")</f>
        <v>🔗 Ver Mapa</v>
      </c>
    </row>
    <row r="29" spans="1:12" ht="43.5" x14ac:dyDescent="0.35">
      <c r="A29" s="5" t="s">
        <v>8</v>
      </c>
      <c r="B29" s="5" t="s">
        <v>16</v>
      </c>
      <c r="C29" s="5" t="s">
        <v>26</v>
      </c>
      <c r="D29" s="5" t="s">
        <v>35</v>
      </c>
      <c r="E29" s="5" t="s">
        <v>39</v>
      </c>
      <c r="F29" s="5" t="s">
        <v>44</v>
      </c>
      <c r="G29" s="5" t="s">
        <v>51</v>
      </c>
      <c r="H29" s="5" t="s">
        <v>58</v>
      </c>
      <c r="I29" s="5" t="s">
        <v>63</v>
      </c>
      <c r="J29" s="5">
        <v>15.987534699999999</v>
      </c>
      <c r="K29" s="5">
        <v>-95.672385379999994</v>
      </c>
      <c r="L29" s="5" t="str">
        <f>HYPERLINK("https://maps.google.com/?q=15.9875347,-95.672385379999994", "🔗 Ver Mapa")</f>
        <v>🔗 Ver Mapa</v>
      </c>
    </row>
    <row r="30" spans="1:12" ht="43.5" x14ac:dyDescent="0.35">
      <c r="A30" s="6" t="s">
        <v>8</v>
      </c>
      <c r="B30" s="6" t="s">
        <v>16</v>
      </c>
      <c r="C30" s="6" t="s">
        <v>26</v>
      </c>
      <c r="D30" s="6" t="s">
        <v>35</v>
      </c>
      <c r="E30" s="6" t="s">
        <v>39</v>
      </c>
      <c r="F30" s="6" t="s">
        <v>44</v>
      </c>
      <c r="G30" s="6" t="s">
        <v>51</v>
      </c>
      <c r="H30" s="6" t="s">
        <v>58</v>
      </c>
      <c r="I30" s="6" t="s">
        <v>63</v>
      </c>
      <c r="J30" s="6">
        <v>15.987605609999999</v>
      </c>
      <c r="K30" s="6">
        <v>-95.672219089999999</v>
      </c>
      <c r="L30" s="6" t="str">
        <f>HYPERLINK("https://maps.google.com/?q=15.98760561,-95.672219089999999", "🔗 Ver Mapa")</f>
        <v>🔗 Ver Mapa</v>
      </c>
    </row>
    <row r="31" spans="1:12" ht="43.5" x14ac:dyDescent="0.35">
      <c r="A31" s="5" t="s">
        <v>8</v>
      </c>
      <c r="B31" s="5" t="s">
        <v>16</v>
      </c>
      <c r="C31" s="5" t="s">
        <v>26</v>
      </c>
      <c r="D31" s="5" t="s">
        <v>35</v>
      </c>
      <c r="E31" s="5" t="s">
        <v>39</v>
      </c>
      <c r="F31" s="5" t="s">
        <v>44</v>
      </c>
      <c r="G31" s="5" t="s">
        <v>51</v>
      </c>
      <c r="H31" s="5" t="s">
        <v>58</v>
      </c>
      <c r="I31" s="5" t="s">
        <v>63</v>
      </c>
      <c r="J31" s="5">
        <v>15.987643029999999</v>
      </c>
      <c r="K31" s="5">
        <v>-95.67890337</v>
      </c>
      <c r="L31" s="5" t="str">
        <f>HYPERLINK("https://maps.google.com/?q=15.98764303,-95.67890337", "🔗 Ver Mapa")</f>
        <v>🔗 Ver Mapa</v>
      </c>
    </row>
    <row r="32" spans="1:12" ht="43.5" x14ac:dyDescent="0.35">
      <c r="A32" s="6" t="s">
        <v>8</v>
      </c>
      <c r="B32" s="6" t="s">
        <v>16</v>
      </c>
      <c r="C32" s="6" t="s">
        <v>26</v>
      </c>
      <c r="D32" s="6" t="s">
        <v>35</v>
      </c>
      <c r="E32" s="6" t="s">
        <v>39</v>
      </c>
      <c r="F32" s="6" t="s">
        <v>44</v>
      </c>
      <c r="G32" s="6" t="s">
        <v>51</v>
      </c>
      <c r="H32" s="6" t="s">
        <v>58</v>
      </c>
      <c r="I32" s="6" t="s">
        <v>63</v>
      </c>
      <c r="J32" s="6">
        <v>15.98771906</v>
      </c>
      <c r="K32" s="6">
        <v>-95.672519489999999</v>
      </c>
      <c r="L32" s="6" t="str">
        <f>HYPERLINK("https://maps.google.com/?q=15.98771906,-95.672519489999999", "🔗 Ver Mapa")</f>
        <v>🔗 Ver Mapa</v>
      </c>
    </row>
    <row r="33" spans="1:12" ht="43.5" x14ac:dyDescent="0.35">
      <c r="A33" s="5" t="s">
        <v>8</v>
      </c>
      <c r="B33" s="5" t="s">
        <v>16</v>
      </c>
      <c r="C33" s="5" t="s">
        <v>26</v>
      </c>
      <c r="D33" s="5" t="s">
        <v>35</v>
      </c>
      <c r="E33" s="5" t="s">
        <v>39</v>
      </c>
      <c r="F33" s="5" t="s">
        <v>44</v>
      </c>
      <c r="G33" s="5" t="s">
        <v>51</v>
      </c>
      <c r="H33" s="5" t="s">
        <v>58</v>
      </c>
      <c r="I33" s="5" t="s">
        <v>63</v>
      </c>
      <c r="J33" s="5">
        <v>15.98777432</v>
      </c>
      <c r="K33" s="5">
        <v>-95.674341310000003</v>
      </c>
      <c r="L33" s="5" t="str">
        <f>HYPERLINK("https://maps.google.com/?q=15.98777432,-95.674341310000003", "🔗 Ver Mapa")</f>
        <v>🔗 Ver Mapa</v>
      </c>
    </row>
    <row r="34" spans="1:12" ht="43.5" x14ac:dyDescent="0.35">
      <c r="A34" s="6" t="s">
        <v>8</v>
      </c>
      <c r="B34" s="6" t="s">
        <v>16</v>
      </c>
      <c r="C34" s="6" t="s">
        <v>26</v>
      </c>
      <c r="D34" s="6" t="s">
        <v>35</v>
      </c>
      <c r="E34" s="6" t="s">
        <v>39</v>
      </c>
      <c r="F34" s="6" t="s">
        <v>44</v>
      </c>
      <c r="G34" s="6" t="s">
        <v>51</v>
      </c>
      <c r="H34" s="6" t="s">
        <v>58</v>
      </c>
      <c r="I34" s="6" t="s">
        <v>63</v>
      </c>
      <c r="J34" s="6">
        <v>15.987872304806</v>
      </c>
      <c r="K34" s="6">
        <v>-95.674472738598993</v>
      </c>
      <c r="L34" s="6" t="str">
        <f>HYPERLINK("https://maps.google.com/?q=15.9878723048064,-95.674472738598595", "🔗 Ver Mapa")</f>
        <v>🔗 Ver Mapa</v>
      </c>
    </row>
    <row r="35" spans="1:12" ht="43.5" x14ac:dyDescent="0.35">
      <c r="A35" s="5" t="s">
        <v>8</v>
      </c>
      <c r="B35" s="5" t="s">
        <v>16</v>
      </c>
      <c r="C35" s="5" t="s">
        <v>26</v>
      </c>
      <c r="D35" s="5" t="s">
        <v>35</v>
      </c>
      <c r="E35" s="5" t="s">
        <v>39</v>
      </c>
      <c r="F35" s="5" t="s">
        <v>44</v>
      </c>
      <c r="G35" s="5" t="s">
        <v>51</v>
      </c>
      <c r="H35" s="5" t="s">
        <v>58</v>
      </c>
      <c r="I35" s="5" t="s">
        <v>63</v>
      </c>
      <c r="J35" s="5">
        <v>15.987894219999999</v>
      </c>
      <c r="K35" s="5">
        <v>-95.674622940000006</v>
      </c>
      <c r="L35" s="5" t="str">
        <f>HYPERLINK("https://maps.google.com/?q=15.98789422,-95.674622940000006", "🔗 Ver Mapa")</f>
        <v>🔗 Ver Mapa</v>
      </c>
    </row>
    <row r="36" spans="1:12" ht="43.5" x14ac:dyDescent="0.35">
      <c r="A36" s="6" t="s">
        <v>8</v>
      </c>
      <c r="B36" s="6" t="s">
        <v>16</v>
      </c>
      <c r="C36" s="6" t="s">
        <v>26</v>
      </c>
      <c r="D36" s="6" t="s">
        <v>35</v>
      </c>
      <c r="E36" s="6" t="s">
        <v>39</v>
      </c>
      <c r="F36" s="6" t="s">
        <v>44</v>
      </c>
      <c r="G36" s="6" t="s">
        <v>51</v>
      </c>
      <c r="H36" s="6" t="s">
        <v>58</v>
      </c>
      <c r="I36" s="6" t="s">
        <v>63</v>
      </c>
      <c r="J36" s="6">
        <v>15.988335136687001</v>
      </c>
      <c r="K36" s="6">
        <v>-95.675171993432002</v>
      </c>
      <c r="L36" s="6" t="str">
        <f>HYPERLINK("https://maps.google.com/?q=15.9883351366867,-95.6751719934324", "🔗 Ver Mapa")</f>
        <v>🔗 Ver Mapa</v>
      </c>
    </row>
    <row r="37" spans="1:12" ht="43.5" x14ac:dyDescent="0.35">
      <c r="A37" s="5" t="s">
        <v>8</v>
      </c>
      <c r="B37" s="5" t="s">
        <v>16</v>
      </c>
      <c r="C37" s="5" t="s">
        <v>26</v>
      </c>
      <c r="D37" s="5" t="s">
        <v>35</v>
      </c>
      <c r="E37" s="5" t="s">
        <v>39</v>
      </c>
      <c r="F37" s="5" t="s">
        <v>44</v>
      </c>
      <c r="G37" s="5" t="s">
        <v>51</v>
      </c>
      <c r="H37" s="5" t="s">
        <v>58</v>
      </c>
      <c r="I37" s="5" t="s">
        <v>63</v>
      </c>
      <c r="J37" s="5">
        <v>15.988378969999999</v>
      </c>
      <c r="K37" s="5">
        <v>-95.672890240000001</v>
      </c>
      <c r="L37" s="5" t="str">
        <f>HYPERLINK("https://maps.google.com/?q=15.98837897,-95.672890240000001", "🔗 Ver Mapa")</f>
        <v>🔗 Ver Mapa</v>
      </c>
    </row>
    <row r="38" spans="1:12" ht="43.5" x14ac:dyDescent="0.35">
      <c r="A38" s="6" t="s">
        <v>8</v>
      </c>
      <c r="B38" s="6" t="s">
        <v>16</v>
      </c>
      <c r="C38" s="6" t="s">
        <v>26</v>
      </c>
      <c r="D38" s="6" t="s">
        <v>35</v>
      </c>
      <c r="E38" s="6" t="s">
        <v>39</v>
      </c>
      <c r="F38" s="6" t="s">
        <v>44</v>
      </c>
      <c r="G38" s="6" t="s">
        <v>51</v>
      </c>
      <c r="H38" s="6" t="s">
        <v>58</v>
      </c>
      <c r="I38" s="6" t="s">
        <v>63</v>
      </c>
      <c r="J38" s="6">
        <v>15.988710299999999</v>
      </c>
      <c r="K38" s="6">
        <v>-95.674709309999997</v>
      </c>
      <c r="L38" s="6" t="str">
        <f>HYPERLINK("https://maps.google.com/?q=15.9887103,-95.674709309999997", "🔗 Ver Mapa")</f>
        <v>🔗 Ver Mapa</v>
      </c>
    </row>
    <row r="39" spans="1:12" ht="43.5" x14ac:dyDescent="0.35">
      <c r="A39" s="5" t="s">
        <v>8</v>
      </c>
      <c r="B39" s="5" t="s">
        <v>16</v>
      </c>
      <c r="C39" s="5" t="s">
        <v>26</v>
      </c>
      <c r="D39" s="5" t="s">
        <v>35</v>
      </c>
      <c r="E39" s="5" t="s">
        <v>39</v>
      </c>
      <c r="F39" s="5" t="s">
        <v>44</v>
      </c>
      <c r="G39" s="5" t="s">
        <v>51</v>
      </c>
      <c r="H39" s="5" t="s">
        <v>58</v>
      </c>
      <c r="I39" s="5" t="s">
        <v>63</v>
      </c>
      <c r="J39" s="5">
        <v>15.98878378</v>
      </c>
      <c r="K39" s="5">
        <v>-95.678362480000004</v>
      </c>
      <c r="L39" s="5" t="str">
        <f>HYPERLINK("https://maps.google.com/?q=15.98878378,-95.678362480000004", "🔗 Ver Mapa")</f>
        <v>🔗 Ver Mapa</v>
      </c>
    </row>
    <row r="40" spans="1:12" ht="43.5" x14ac:dyDescent="0.35">
      <c r="A40" s="6" t="s">
        <v>8</v>
      </c>
      <c r="B40" s="6" t="s">
        <v>16</v>
      </c>
      <c r="C40" s="6" t="s">
        <v>26</v>
      </c>
      <c r="D40" s="6" t="s">
        <v>35</v>
      </c>
      <c r="E40" s="6" t="s">
        <v>39</v>
      </c>
      <c r="F40" s="6" t="s">
        <v>44</v>
      </c>
      <c r="G40" s="6" t="s">
        <v>51</v>
      </c>
      <c r="H40" s="6" t="s">
        <v>58</v>
      </c>
      <c r="I40" s="6" t="s">
        <v>63</v>
      </c>
      <c r="J40" s="6">
        <v>15.989461909999999</v>
      </c>
      <c r="K40" s="6">
        <v>-95.676935540000002</v>
      </c>
      <c r="L40" s="6" t="str">
        <f>HYPERLINK("https://maps.google.com/?q=15.98946191,-95.676935540000002", "🔗 Ver Mapa")</f>
        <v>🔗 Ver Mapa</v>
      </c>
    </row>
    <row r="41" spans="1:12" ht="43.5" x14ac:dyDescent="0.35">
      <c r="A41" s="5" t="s">
        <v>8</v>
      </c>
      <c r="B41" s="5" t="s">
        <v>16</v>
      </c>
      <c r="C41" s="5" t="s">
        <v>26</v>
      </c>
      <c r="D41" s="5" t="s">
        <v>35</v>
      </c>
      <c r="E41" s="5" t="s">
        <v>39</v>
      </c>
      <c r="F41" s="5" t="s">
        <v>44</v>
      </c>
      <c r="G41" s="5" t="s">
        <v>51</v>
      </c>
      <c r="H41" s="5" t="s">
        <v>58</v>
      </c>
      <c r="I41" s="5" t="s">
        <v>63</v>
      </c>
      <c r="J41" s="5">
        <v>15.989520110000001</v>
      </c>
      <c r="K41" s="5">
        <v>-95.679107000000002</v>
      </c>
      <c r="L41" s="5" t="str">
        <f>HYPERLINK("https://maps.google.com/?q=15.98952011,-95.679107000000002", "🔗 Ver Mapa")</f>
        <v>🔗 Ver Mapa</v>
      </c>
    </row>
    <row r="42" spans="1:12" ht="43.5" x14ac:dyDescent="0.35">
      <c r="A42" s="6" t="s">
        <v>8</v>
      </c>
      <c r="B42" s="6" t="s">
        <v>16</v>
      </c>
      <c r="C42" s="6" t="s">
        <v>26</v>
      </c>
      <c r="D42" s="6" t="s">
        <v>35</v>
      </c>
      <c r="E42" s="6" t="s">
        <v>39</v>
      </c>
      <c r="F42" s="6" t="s">
        <v>44</v>
      </c>
      <c r="G42" s="6" t="s">
        <v>51</v>
      </c>
      <c r="H42" s="6" t="s">
        <v>58</v>
      </c>
      <c r="I42" s="6" t="s">
        <v>63</v>
      </c>
      <c r="J42" s="6">
        <v>15.990200639999999</v>
      </c>
      <c r="K42" s="6">
        <v>-95.679832329999996</v>
      </c>
      <c r="L42" s="6" t="str">
        <f>HYPERLINK("https://maps.google.com/?q=15.99020064,-95.679832329999996", "🔗 Ver Mapa")</f>
        <v>🔗 Ver Mapa</v>
      </c>
    </row>
    <row r="43" spans="1:12" ht="43.5" x14ac:dyDescent="0.35">
      <c r="A43" s="5" t="s">
        <v>8</v>
      </c>
      <c r="B43" s="5" t="s">
        <v>16</v>
      </c>
      <c r="C43" s="5" t="s">
        <v>26</v>
      </c>
      <c r="D43" s="5" t="s">
        <v>35</v>
      </c>
      <c r="E43" s="5" t="s">
        <v>39</v>
      </c>
      <c r="F43" s="5" t="s">
        <v>44</v>
      </c>
      <c r="G43" s="5" t="s">
        <v>51</v>
      </c>
      <c r="H43" s="5" t="s">
        <v>58</v>
      </c>
      <c r="I43" s="5" t="s">
        <v>63</v>
      </c>
      <c r="J43" s="5">
        <v>15.990686670000001</v>
      </c>
      <c r="K43" s="5">
        <v>-95.68079256</v>
      </c>
      <c r="L43" s="5" t="str">
        <f>HYPERLINK("https://maps.google.com/?q=15.99068667,-95.68079256", "🔗 Ver Mapa")</f>
        <v>🔗 Ver Mapa</v>
      </c>
    </row>
    <row r="44" spans="1:12" ht="43.5" x14ac:dyDescent="0.35">
      <c r="A44" s="6" t="s">
        <v>8</v>
      </c>
      <c r="B44" s="6" t="s">
        <v>16</v>
      </c>
      <c r="C44" s="6" t="s">
        <v>27</v>
      </c>
      <c r="D44" s="6" t="s">
        <v>35</v>
      </c>
      <c r="E44" s="6" t="s">
        <v>37</v>
      </c>
      <c r="F44" s="6" t="s">
        <v>45</v>
      </c>
      <c r="G44" s="6" t="s">
        <v>52</v>
      </c>
      <c r="H44" s="6" t="s">
        <v>59</v>
      </c>
      <c r="I44" s="6" t="s">
        <v>63</v>
      </c>
      <c r="J44" s="6">
        <v>16.977456864808001</v>
      </c>
      <c r="K44" s="6">
        <v>-96.891423185354</v>
      </c>
      <c r="L44" s="6" t="str">
        <f>HYPERLINK("https://maps.google.com/?q=16.9774568648082,-96.891423185354199", "🔗 Ver Mapa")</f>
        <v>🔗 Ver Mapa</v>
      </c>
    </row>
    <row r="45" spans="1:12" ht="43.5" x14ac:dyDescent="0.35">
      <c r="A45" s="5" t="s">
        <v>8</v>
      </c>
      <c r="B45" s="5" t="s">
        <v>16</v>
      </c>
      <c r="C45" s="5" t="s">
        <v>27</v>
      </c>
      <c r="D45" s="5" t="s">
        <v>35</v>
      </c>
      <c r="E45" s="5" t="s">
        <v>37</v>
      </c>
      <c r="F45" s="5" t="s">
        <v>45</v>
      </c>
      <c r="G45" s="5" t="s">
        <v>52</v>
      </c>
      <c r="H45" s="5" t="s">
        <v>59</v>
      </c>
      <c r="I45" s="5" t="s">
        <v>63</v>
      </c>
      <c r="J45" s="5">
        <v>16.977490230701001</v>
      </c>
      <c r="K45" s="5">
        <v>-96.891590057707006</v>
      </c>
      <c r="L45" s="5" t="str">
        <f>HYPERLINK("https://maps.google.com/?q=16.9774902307007,-96.891590057706907", "🔗 Ver Mapa")</f>
        <v>🔗 Ver Mapa</v>
      </c>
    </row>
    <row r="46" spans="1:12" ht="43.5" x14ac:dyDescent="0.35">
      <c r="A46" s="6" t="s">
        <v>8</v>
      </c>
      <c r="B46" s="6" t="s">
        <v>16</v>
      </c>
      <c r="C46" s="6" t="s">
        <v>27</v>
      </c>
      <c r="D46" s="6" t="s">
        <v>35</v>
      </c>
      <c r="E46" s="6" t="s">
        <v>37</v>
      </c>
      <c r="F46" s="6" t="s">
        <v>45</v>
      </c>
      <c r="G46" s="6" t="s">
        <v>52</v>
      </c>
      <c r="H46" s="6" t="s">
        <v>59</v>
      </c>
      <c r="I46" s="6" t="s">
        <v>63</v>
      </c>
      <c r="J46" s="6">
        <v>16.977611957621001</v>
      </c>
      <c r="K46" s="6">
        <v>-96.891583542327993</v>
      </c>
      <c r="L46" s="6" t="str">
        <f>HYPERLINK("https://maps.google.com/?q=16.9776119576212,-96.891583542327993", "🔗 Ver Mapa")</f>
        <v>🔗 Ver Mapa</v>
      </c>
    </row>
    <row r="47" spans="1:12" ht="43.5" x14ac:dyDescent="0.35">
      <c r="A47" s="5" t="s">
        <v>8</v>
      </c>
      <c r="B47" s="5" t="s">
        <v>16</v>
      </c>
      <c r="C47" s="5" t="s">
        <v>27</v>
      </c>
      <c r="D47" s="5" t="s">
        <v>35</v>
      </c>
      <c r="E47" s="5" t="s">
        <v>37</v>
      </c>
      <c r="F47" s="5" t="s">
        <v>45</v>
      </c>
      <c r="G47" s="5" t="s">
        <v>52</v>
      </c>
      <c r="H47" s="5" t="s">
        <v>59</v>
      </c>
      <c r="I47" s="5" t="s">
        <v>63</v>
      </c>
      <c r="J47" s="5">
        <v>16.977634331158999</v>
      </c>
      <c r="K47" s="5">
        <v>-96.890974647134001</v>
      </c>
      <c r="L47" s="5" t="str">
        <f>HYPERLINK("https://maps.google.com/?q=16.9776343311589,-96.890974647134499", "🔗 Ver Mapa")</f>
        <v>🔗 Ver Mapa</v>
      </c>
    </row>
    <row r="48" spans="1:12" ht="43.5" x14ac:dyDescent="0.35">
      <c r="A48" s="6" t="s">
        <v>8</v>
      </c>
      <c r="B48" s="6" t="s">
        <v>16</v>
      </c>
      <c r="C48" s="6" t="s">
        <v>27</v>
      </c>
      <c r="D48" s="6" t="s">
        <v>35</v>
      </c>
      <c r="E48" s="6" t="s">
        <v>37</v>
      </c>
      <c r="F48" s="6" t="s">
        <v>45</v>
      </c>
      <c r="G48" s="6" t="s">
        <v>52</v>
      </c>
      <c r="H48" s="6" t="s">
        <v>59</v>
      </c>
      <c r="I48" s="6" t="s">
        <v>63</v>
      </c>
      <c r="J48" s="6">
        <v>16.977680506826001</v>
      </c>
      <c r="K48" s="6">
        <v>-96.891425258249001</v>
      </c>
      <c r="L48" s="6" t="str">
        <f>HYPERLINK("https://maps.google.com/?q=16.9776805068259,-96.891425258249001", "🔗 Ver Mapa")</f>
        <v>🔗 Ver Mapa</v>
      </c>
    </row>
    <row r="49" spans="1:12" ht="43.5" x14ac:dyDescent="0.35">
      <c r="A49" s="5" t="s">
        <v>8</v>
      </c>
      <c r="B49" s="5" t="s">
        <v>16</v>
      </c>
      <c r="C49" s="5" t="s">
        <v>27</v>
      </c>
      <c r="D49" s="5" t="s">
        <v>35</v>
      </c>
      <c r="E49" s="5" t="s">
        <v>37</v>
      </c>
      <c r="F49" s="5" t="s">
        <v>45</v>
      </c>
      <c r="G49" s="5" t="s">
        <v>52</v>
      </c>
      <c r="H49" s="5" t="s">
        <v>59</v>
      </c>
      <c r="I49" s="5" t="s">
        <v>63</v>
      </c>
      <c r="J49" s="5">
        <v>16.977782824855002</v>
      </c>
      <c r="K49" s="5">
        <v>-96.891393547291003</v>
      </c>
      <c r="L49" s="5" t="str">
        <f>HYPERLINK("https://maps.google.com/?q=16.9777828248555,-96.891393547290804", "🔗 Ver Mapa")</f>
        <v>🔗 Ver Mapa</v>
      </c>
    </row>
    <row r="50" spans="1:12" ht="43.5" x14ac:dyDescent="0.35">
      <c r="A50" s="6" t="s">
        <v>8</v>
      </c>
      <c r="B50" s="6" t="s">
        <v>16</v>
      </c>
      <c r="C50" s="6" t="s">
        <v>27</v>
      </c>
      <c r="D50" s="6" t="s">
        <v>35</v>
      </c>
      <c r="E50" s="6" t="s">
        <v>37</v>
      </c>
      <c r="F50" s="6" t="s">
        <v>45</v>
      </c>
      <c r="G50" s="6" t="s">
        <v>52</v>
      </c>
      <c r="H50" s="6" t="s">
        <v>59</v>
      </c>
      <c r="I50" s="6" t="s">
        <v>63</v>
      </c>
      <c r="J50" s="6">
        <v>16.978745193868001</v>
      </c>
      <c r="K50" s="6">
        <v>-96.889936764382995</v>
      </c>
      <c r="L50" s="6" t="str">
        <f>HYPERLINK("https://maps.google.com/?q=16.9787451938679,-96.889936764383194", "🔗 Ver Mapa")</f>
        <v>🔗 Ver Mapa</v>
      </c>
    </row>
    <row r="51" spans="1:12" ht="43.5" x14ac:dyDescent="0.35">
      <c r="A51" s="5" t="s">
        <v>8</v>
      </c>
      <c r="B51" s="5" t="s">
        <v>16</v>
      </c>
      <c r="C51" s="5" t="s">
        <v>27</v>
      </c>
      <c r="D51" s="5" t="s">
        <v>35</v>
      </c>
      <c r="E51" s="5" t="s">
        <v>37</v>
      </c>
      <c r="F51" s="5" t="s">
        <v>45</v>
      </c>
      <c r="G51" s="5" t="s">
        <v>52</v>
      </c>
      <c r="H51" s="5" t="s">
        <v>59</v>
      </c>
      <c r="I51" s="5" t="s">
        <v>63</v>
      </c>
      <c r="J51" s="5">
        <v>16.978895263856</v>
      </c>
      <c r="K51" s="5">
        <v>-96.890065510415994</v>
      </c>
      <c r="L51" s="5" t="str">
        <f>HYPERLINK("https://maps.google.com/?q=16.9788952638564,-96.890065510416093", "🔗 Ver Mapa")</f>
        <v>🔗 Ver Mapa</v>
      </c>
    </row>
    <row r="52" spans="1:12" ht="43.5" x14ac:dyDescent="0.35">
      <c r="A52" s="6" t="s">
        <v>8</v>
      </c>
      <c r="B52" s="6" t="s">
        <v>16</v>
      </c>
      <c r="C52" s="6" t="s">
        <v>27</v>
      </c>
      <c r="D52" s="6" t="s">
        <v>35</v>
      </c>
      <c r="E52" s="6" t="s">
        <v>37</v>
      </c>
      <c r="F52" s="6" t="s">
        <v>45</v>
      </c>
      <c r="G52" s="6" t="s">
        <v>52</v>
      </c>
      <c r="H52" s="6" t="s">
        <v>59</v>
      </c>
      <c r="I52" s="6" t="s">
        <v>63</v>
      </c>
      <c r="J52" s="6">
        <v>16.978907785745001</v>
      </c>
      <c r="K52" s="6">
        <v>-96.886578506559005</v>
      </c>
      <c r="L52" s="6" t="str">
        <f>HYPERLINK("https://maps.google.com/?q=16.978907785745,-96.886578506559204", "🔗 Ver Mapa")</f>
        <v>🔗 Ver Mapa</v>
      </c>
    </row>
    <row r="53" spans="1:12" ht="43.5" x14ac:dyDescent="0.35">
      <c r="A53" s="5" t="s">
        <v>8</v>
      </c>
      <c r="B53" s="5" t="s">
        <v>16</v>
      </c>
      <c r="C53" s="5" t="s">
        <v>27</v>
      </c>
      <c r="D53" s="5" t="s">
        <v>35</v>
      </c>
      <c r="E53" s="5" t="s">
        <v>37</v>
      </c>
      <c r="F53" s="5" t="s">
        <v>45</v>
      </c>
      <c r="G53" s="5" t="s">
        <v>52</v>
      </c>
      <c r="H53" s="5" t="s">
        <v>59</v>
      </c>
      <c r="I53" s="5" t="s">
        <v>63</v>
      </c>
      <c r="J53" s="5">
        <v>16.979113009452998</v>
      </c>
      <c r="K53" s="5">
        <v>-96.886519497961004</v>
      </c>
      <c r="L53" s="5" t="str">
        <f>HYPERLINK("https://maps.google.com/?q=16.9791130094528,-96.886519497961004", "🔗 Ver Mapa")</f>
        <v>🔗 Ver Mapa</v>
      </c>
    </row>
    <row r="54" spans="1:12" ht="43.5" x14ac:dyDescent="0.35">
      <c r="A54" s="6" t="s">
        <v>8</v>
      </c>
      <c r="B54" s="6" t="s">
        <v>16</v>
      </c>
      <c r="C54" s="6" t="s">
        <v>27</v>
      </c>
      <c r="D54" s="6" t="s">
        <v>35</v>
      </c>
      <c r="E54" s="6" t="s">
        <v>37</v>
      </c>
      <c r="F54" s="6" t="s">
        <v>45</v>
      </c>
      <c r="G54" s="6" t="s">
        <v>52</v>
      </c>
      <c r="H54" s="6" t="s">
        <v>59</v>
      </c>
      <c r="I54" s="6" t="s">
        <v>63</v>
      </c>
      <c r="J54" s="6">
        <v>16.979180467567002</v>
      </c>
      <c r="K54" s="6">
        <v>-96.887108756995005</v>
      </c>
      <c r="L54" s="6" t="str">
        <f>HYPERLINK("https://maps.google.com/?q=16.979180467567,-96.887108756994806", "🔗 Ver Mapa")</f>
        <v>🔗 Ver Mapa</v>
      </c>
    </row>
    <row r="55" spans="1:12" ht="43.5" x14ac:dyDescent="0.35">
      <c r="A55" s="5" t="s">
        <v>8</v>
      </c>
      <c r="B55" s="5" t="s">
        <v>16</v>
      </c>
      <c r="C55" s="5" t="s">
        <v>27</v>
      </c>
      <c r="D55" s="5" t="s">
        <v>35</v>
      </c>
      <c r="E55" s="5" t="s">
        <v>37</v>
      </c>
      <c r="F55" s="5" t="s">
        <v>45</v>
      </c>
      <c r="G55" s="5" t="s">
        <v>52</v>
      </c>
      <c r="H55" s="5" t="s">
        <v>59</v>
      </c>
      <c r="I55" s="5" t="s">
        <v>63</v>
      </c>
      <c r="J55" s="5">
        <v>16.979188095063002</v>
      </c>
      <c r="K55" s="5">
        <v>-96.890081540826998</v>
      </c>
      <c r="L55" s="5" t="str">
        <f>HYPERLINK("https://maps.google.com/?q=16.9791880950633,-96.8900815408266", "🔗 Ver Mapa")</f>
        <v>🔗 Ver Mapa</v>
      </c>
    </row>
    <row r="56" spans="1:12" ht="43.5" x14ac:dyDescent="0.35">
      <c r="A56" s="6" t="s">
        <v>8</v>
      </c>
      <c r="B56" s="6" t="s">
        <v>16</v>
      </c>
      <c r="C56" s="6" t="s">
        <v>27</v>
      </c>
      <c r="D56" s="6" t="s">
        <v>35</v>
      </c>
      <c r="E56" s="6" t="s">
        <v>37</v>
      </c>
      <c r="F56" s="6" t="s">
        <v>45</v>
      </c>
      <c r="G56" s="6" t="s">
        <v>52</v>
      </c>
      <c r="H56" s="6" t="s">
        <v>59</v>
      </c>
      <c r="I56" s="6" t="s">
        <v>63</v>
      </c>
      <c r="J56" s="6">
        <v>16.97923514</v>
      </c>
      <c r="K56" s="6">
        <v>-96.886684970000005</v>
      </c>
      <c r="L56" s="6" t="str">
        <f>HYPERLINK("https://maps.google.com/?q=16.97923514,-96.886684970000005", "🔗 Ver Mapa")</f>
        <v>🔗 Ver Mapa</v>
      </c>
    </row>
    <row r="57" spans="1:12" ht="43.5" x14ac:dyDescent="0.35">
      <c r="A57" s="5" t="s">
        <v>8</v>
      </c>
      <c r="B57" s="5" t="s">
        <v>16</v>
      </c>
      <c r="C57" s="5" t="s">
        <v>27</v>
      </c>
      <c r="D57" s="5" t="s">
        <v>35</v>
      </c>
      <c r="E57" s="5" t="s">
        <v>37</v>
      </c>
      <c r="F57" s="5" t="s">
        <v>45</v>
      </c>
      <c r="G57" s="5" t="s">
        <v>52</v>
      </c>
      <c r="H57" s="5" t="s">
        <v>59</v>
      </c>
      <c r="I57" s="5" t="s">
        <v>63</v>
      </c>
      <c r="J57" s="5">
        <v>16.979796068736999</v>
      </c>
      <c r="K57" s="5">
        <v>-96.891874597552999</v>
      </c>
      <c r="L57" s="5" t="str">
        <f>HYPERLINK("https://maps.google.com/?q=16.9797960687373,-96.891874597553297", "🔗 Ver Mapa")</f>
        <v>🔗 Ver Mapa</v>
      </c>
    </row>
    <row r="58" spans="1:12" ht="43.5" x14ac:dyDescent="0.35">
      <c r="A58" s="6" t="s">
        <v>8</v>
      </c>
      <c r="B58" s="6" t="s">
        <v>16</v>
      </c>
      <c r="C58" s="6" t="s">
        <v>27</v>
      </c>
      <c r="D58" s="6" t="s">
        <v>35</v>
      </c>
      <c r="E58" s="6" t="s">
        <v>37</v>
      </c>
      <c r="F58" s="6" t="s">
        <v>45</v>
      </c>
      <c r="G58" s="6" t="s">
        <v>52</v>
      </c>
      <c r="H58" s="6" t="s">
        <v>59</v>
      </c>
      <c r="I58" s="6" t="s">
        <v>63</v>
      </c>
      <c r="J58" s="6">
        <v>16.979954087235999</v>
      </c>
      <c r="K58" s="6">
        <v>-96.891187901341993</v>
      </c>
      <c r="L58" s="6" t="str">
        <f>HYPERLINK("https://maps.google.com/?q=16.9799540872364,-96.891187901342207", "🔗 Ver Mapa")</f>
        <v>🔗 Ver Mapa</v>
      </c>
    </row>
    <row r="59" spans="1:12" ht="43.5" x14ac:dyDescent="0.35">
      <c r="A59" s="5" t="s">
        <v>8</v>
      </c>
      <c r="B59" s="5" t="s">
        <v>16</v>
      </c>
      <c r="C59" s="5" t="s">
        <v>27</v>
      </c>
      <c r="D59" s="5" t="s">
        <v>35</v>
      </c>
      <c r="E59" s="5" t="s">
        <v>37</v>
      </c>
      <c r="F59" s="5" t="s">
        <v>45</v>
      </c>
      <c r="G59" s="5" t="s">
        <v>52</v>
      </c>
      <c r="H59" s="5" t="s">
        <v>59</v>
      </c>
      <c r="I59" s="5" t="s">
        <v>63</v>
      </c>
      <c r="J59" s="5">
        <v>16.980116979687999</v>
      </c>
      <c r="K59" s="5">
        <v>-96.891234836804998</v>
      </c>
      <c r="L59" s="5" t="str">
        <f>HYPERLINK("https://maps.google.com/?q=16.9801169796875,-96.891234836805396", "🔗 Ver Mapa")</f>
        <v>🔗 Ver Mapa</v>
      </c>
    </row>
    <row r="60" spans="1:12" ht="43.5" x14ac:dyDescent="0.35">
      <c r="A60" s="6" t="s">
        <v>8</v>
      </c>
      <c r="B60" s="6" t="s">
        <v>16</v>
      </c>
      <c r="C60" s="6" t="s">
        <v>27</v>
      </c>
      <c r="D60" s="6" t="s">
        <v>35</v>
      </c>
      <c r="E60" s="6" t="s">
        <v>37</v>
      </c>
      <c r="F60" s="6" t="s">
        <v>45</v>
      </c>
      <c r="G60" s="6" t="s">
        <v>52</v>
      </c>
      <c r="H60" s="6" t="s">
        <v>59</v>
      </c>
      <c r="I60" s="6" t="s">
        <v>63</v>
      </c>
      <c r="J60" s="6">
        <v>16.980197517893</v>
      </c>
      <c r="K60" s="6">
        <v>-96.890422323907998</v>
      </c>
      <c r="L60" s="6" t="str">
        <f>HYPERLINK("https://maps.google.com/?q=16.9801975178929,-96.890422323908098", "🔗 Ver Mapa")</f>
        <v>🔗 Ver Mapa</v>
      </c>
    </row>
    <row r="61" spans="1:12" ht="43.5" x14ac:dyDescent="0.35">
      <c r="A61" s="5" t="s">
        <v>8</v>
      </c>
      <c r="B61" s="5" t="s">
        <v>16</v>
      </c>
      <c r="C61" s="5" t="s">
        <v>27</v>
      </c>
      <c r="D61" s="5" t="s">
        <v>35</v>
      </c>
      <c r="E61" s="5" t="s">
        <v>37</v>
      </c>
      <c r="F61" s="5" t="s">
        <v>45</v>
      </c>
      <c r="G61" s="5" t="s">
        <v>52</v>
      </c>
      <c r="H61" s="5" t="s">
        <v>59</v>
      </c>
      <c r="I61" s="5" t="s">
        <v>63</v>
      </c>
      <c r="J61" s="5">
        <v>16.980667808802998</v>
      </c>
      <c r="K61" s="5">
        <v>-96.889244107969006</v>
      </c>
      <c r="L61" s="5" t="str">
        <f>HYPERLINK("https://maps.google.com/?q=16.9806678088031,-96.889244107969205", "🔗 Ver Mapa")</f>
        <v>🔗 Ver Mapa</v>
      </c>
    </row>
    <row r="62" spans="1:12" ht="43.5" x14ac:dyDescent="0.35">
      <c r="A62" s="6" t="s">
        <v>8</v>
      </c>
      <c r="B62" s="6" t="s">
        <v>16</v>
      </c>
      <c r="C62" s="6" t="s">
        <v>27</v>
      </c>
      <c r="D62" s="6" t="s">
        <v>35</v>
      </c>
      <c r="E62" s="6" t="s">
        <v>37</v>
      </c>
      <c r="F62" s="6" t="s">
        <v>45</v>
      </c>
      <c r="G62" s="6" t="s">
        <v>52</v>
      </c>
      <c r="H62" s="6" t="s">
        <v>59</v>
      </c>
      <c r="I62" s="6" t="s">
        <v>63</v>
      </c>
      <c r="J62" s="6">
        <v>16.981065261428999</v>
      </c>
      <c r="K62" s="6">
        <v>-96.891746177909994</v>
      </c>
      <c r="L62" s="6" t="str">
        <f>HYPERLINK("https://maps.google.com/?q=16.9810652614289,-96.891746177909695", "🔗 Ver Mapa")</f>
        <v>🔗 Ver Mapa</v>
      </c>
    </row>
    <row r="63" spans="1:12" ht="43.5" x14ac:dyDescent="0.35">
      <c r="A63" s="5" t="s">
        <v>8</v>
      </c>
      <c r="B63" s="5" t="s">
        <v>16</v>
      </c>
      <c r="C63" s="5" t="s">
        <v>27</v>
      </c>
      <c r="D63" s="5" t="s">
        <v>35</v>
      </c>
      <c r="E63" s="5" t="s">
        <v>37</v>
      </c>
      <c r="F63" s="5" t="s">
        <v>45</v>
      </c>
      <c r="G63" s="5" t="s">
        <v>52</v>
      </c>
      <c r="H63" s="5" t="s">
        <v>59</v>
      </c>
      <c r="I63" s="5" t="s">
        <v>63</v>
      </c>
      <c r="J63" s="5">
        <v>16.981955916253</v>
      </c>
      <c r="K63" s="5">
        <v>-96.890379282821002</v>
      </c>
      <c r="L63" s="5" t="str">
        <f>HYPERLINK("https://maps.google.com/?q=16.9819559162534,-96.890379282820703", "🔗 Ver Mapa")</f>
        <v>🔗 Ver Mapa</v>
      </c>
    </row>
    <row r="64" spans="1:12" ht="43.5" x14ac:dyDescent="0.35">
      <c r="A64" s="6" t="s">
        <v>8</v>
      </c>
      <c r="B64" s="6" t="s">
        <v>16</v>
      </c>
      <c r="C64" s="6" t="s">
        <v>27</v>
      </c>
      <c r="D64" s="6" t="s">
        <v>35</v>
      </c>
      <c r="E64" s="6" t="s">
        <v>37</v>
      </c>
      <c r="F64" s="6" t="s">
        <v>45</v>
      </c>
      <c r="G64" s="6" t="s">
        <v>52</v>
      </c>
      <c r="H64" s="6" t="s">
        <v>59</v>
      </c>
      <c r="I64" s="6" t="s">
        <v>63</v>
      </c>
      <c r="J64" s="6">
        <v>16.982258720842001</v>
      </c>
      <c r="K64" s="6">
        <v>-96.890915769345995</v>
      </c>
      <c r="L64" s="6" t="str">
        <f>HYPERLINK("https://maps.google.com/?q=16.9822587208424,-96.890915769346094", "🔗 Ver Mapa")</f>
        <v>🔗 Ver Mapa</v>
      </c>
    </row>
    <row r="65" spans="1:12" ht="43.5" x14ac:dyDescent="0.35">
      <c r="A65" s="5" t="s">
        <v>8</v>
      </c>
      <c r="B65" s="5" t="s">
        <v>16</v>
      </c>
      <c r="C65" s="5" t="s">
        <v>27</v>
      </c>
      <c r="D65" s="5" t="s">
        <v>35</v>
      </c>
      <c r="E65" s="5" t="s">
        <v>37</v>
      </c>
      <c r="F65" s="5" t="s">
        <v>45</v>
      </c>
      <c r="G65" s="5" t="s">
        <v>52</v>
      </c>
      <c r="H65" s="5" t="s">
        <v>59</v>
      </c>
      <c r="I65" s="5" t="s">
        <v>63</v>
      </c>
      <c r="J65" s="5">
        <v>16.982496569392001</v>
      </c>
      <c r="K65" s="5">
        <v>-96.891964440476002</v>
      </c>
      <c r="L65" s="5" t="str">
        <f>HYPERLINK("https://maps.google.com/?q=16.982496569392,-96.891964440475505", "🔗 Ver Mapa")</f>
        <v>🔗 Ver Mapa</v>
      </c>
    </row>
    <row r="66" spans="1:12" ht="43.5" x14ac:dyDescent="0.35">
      <c r="A66" s="6" t="s">
        <v>8</v>
      </c>
      <c r="B66" s="6" t="s">
        <v>16</v>
      </c>
      <c r="C66" s="6" t="s">
        <v>27</v>
      </c>
      <c r="D66" s="6" t="s">
        <v>35</v>
      </c>
      <c r="E66" s="6" t="s">
        <v>37</v>
      </c>
      <c r="F66" s="6" t="s">
        <v>45</v>
      </c>
      <c r="G66" s="6" t="s">
        <v>52</v>
      </c>
      <c r="H66" s="6" t="s">
        <v>59</v>
      </c>
      <c r="I66" s="6" t="s">
        <v>63</v>
      </c>
      <c r="J66" s="6">
        <v>16.982736480703</v>
      </c>
      <c r="K66" s="6">
        <v>-96.892260606150998</v>
      </c>
      <c r="L66" s="6" t="str">
        <f>HYPERLINK("https://maps.google.com/?q=16.982736480703,-96.892260606151495", "🔗 Ver Mapa")</f>
        <v>🔗 Ver Mapa</v>
      </c>
    </row>
    <row r="67" spans="1:12" ht="43.5" x14ac:dyDescent="0.35">
      <c r="A67" s="5" t="s">
        <v>8</v>
      </c>
      <c r="B67" s="5" t="s">
        <v>16</v>
      </c>
      <c r="C67" s="5" t="s">
        <v>27</v>
      </c>
      <c r="D67" s="5" t="s">
        <v>35</v>
      </c>
      <c r="E67" s="5" t="s">
        <v>37</v>
      </c>
      <c r="F67" s="5" t="s">
        <v>45</v>
      </c>
      <c r="G67" s="5" t="s">
        <v>52</v>
      </c>
      <c r="H67" s="5" t="s">
        <v>59</v>
      </c>
      <c r="I67" s="5" t="s">
        <v>63</v>
      </c>
      <c r="J67" s="5">
        <v>16.982937228752998</v>
      </c>
      <c r="K67" s="5">
        <v>-96.891834425933993</v>
      </c>
      <c r="L67" s="5" t="str">
        <f>HYPERLINK("https://maps.google.com/?q=16.9829372287532,-96.891834425934107", "🔗 Ver Mapa")</f>
        <v>🔗 Ver Mapa</v>
      </c>
    </row>
    <row r="68" spans="1:12" ht="43.5" x14ac:dyDescent="0.35">
      <c r="A68" s="6" t="s">
        <v>8</v>
      </c>
      <c r="B68" s="6" t="s">
        <v>16</v>
      </c>
      <c r="C68" s="6" t="s">
        <v>27</v>
      </c>
      <c r="D68" s="6" t="s">
        <v>35</v>
      </c>
      <c r="E68" s="6" t="s">
        <v>37</v>
      </c>
      <c r="F68" s="6" t="s">
        <v>45</v>
      </c>
      <c r="G68" s="6" t="s">
        <v>52</v>
      </c>
      <c r="H68" s="6" t="s">
        <v>59</v>
      </c>
      <c r="I68" s="6" t="s">
        <v>63</v>
      </c>
      <c r="J68" s="6">
        <v>16.982937698392998</v>
      </c>
      <c r="K68" s="6">
        <v>-96.891052057707</v>
      </c>
      <c r="L68" s="6" t="str">
        <f>HYPERLINK("https://maps.google.com/?q=16.9829376983933,-96.8910520577071", "🔗 Ver Mapa")</f>
        <v>🔗 Ver Mapa</v>
      </c>
    </row>
    <row r="69" spans="1:12" ht="43.5" x14ac:dyDescent="0.35">
      <c r="A69" s="5" t="s">
        <v>8</v>
      </c>
      <c r="B69" s="5" t="s">
        <v>16</v>
      </c>
      <c r="C69" s="5" t="s">
        <v>27</v>
      </c>
      <c r="D69" s="5" t="s">
        <v>35</v>
      </c>
      <c r="E69" s="5" t="s">
        <v>37</v>
      </c>
      <c r="F69" s="5" t="s">
        <v>45</v>
      </c>
      <c r="G69" s="5" t="s">
        <v>52</v>
      </c>
      <c r="H69" s="5" t="s">
        <v>59</v>
      </c>
      <c r="I69" s="5" t="s">
        <v>63</v>
      </c>
      <c r="J69" s="5">
        <v>16.983283525564001</v>
      </c>
      <c r="K69" s="5">
        <v>-96.891090510416007</v>
      </c>
      <c r="L69" s="5" t="str">
        <f>HYPERLINK("https://maps.google.com/?q=16.9832835255642,-96.891090510416305", "🔗 Ver Mapa")</f>
        <v>🔗 Ver Mapa</v>
      </c>
    </row>
    <row r="70" spans="1:12" ht="43.5" x14ac:dyDescent="0.35">
      <c r="A70" s="6" t="s">
        <v>8</v>
      </c>
      <c r="B70" s="6" t="s">
        <v>16</v>
      </c>
      <c r="C70" s="6" t="s">
        <v>27</v>
      </c>
      <c r="D70" s="6" t="s">
        <v>35</v>
      </c>
      <c r="E70" s="6" t="s">
        <v>37</v>
      </c>
      <c r="F70" s="6" t="s">
        <v>45</v>
      </c>
      <c r="G70" s="6" t="s">
        <v>52</v>
      </c>
      <c r="H70" s="6" t="s">
        <v>59</v>
      </c>
      <c r="I70" s="6" t="s">
        <v>63</v>
      </c>
      <c r="J70" s="6">
        <v>16.983509545091</v>
      </c>
      <c r="K70" s="6">
        <v>-96.890360472387002</v>
      </c>
      <c r="L70" s="6" t="str">
        <f>HYPERLINK("https://maps.google.com/?q=16.9835095450914,-96.8903604723873", "🔗 Ver Mapa")</f>
        <v>🔗 Ver Mapa</v>
      </c>
    </row>
    <row r="71" spans="1:12" ht="43.5" x14ac:dyDescent="0.35">
      <c r="A71" s="5" t="s">
        <v>8</v>
      </c>
      <c r="B71" s="5" t="s">
        <v>16</v>
      </c>
      <c r="C71" s="5" t="s">
        <v>27</v>
      </c>
      <c r="D71" s="5" t="s">
        <v>35</v>
      </c>
      <c r="E71" s="5" t="s">
        <v>37</v>
      </c>
      <c r="F71" s="5" t="s">
        <v>45</v>
      </c>
      <c r="G71" s="5" t="s">
        <v>52</v>
      </c>
      <c r="H71" s="5" t="s">
        <v>59</v>
      </c>
      <c r="I71" s="5" t="s">
        <v>63</v>
      </c>
      <c r="J71" s="5">
        <v>16.983587889999999</v>
      </c>
      <c r="K71" s="5">
        <v>-96.890796463789002</v>
      </c>
      <c r="L71" s="5" t="str">
        <f>HYPERLINK("https://maps.google.com/?q=16.98358789,-96.890796463789002", "🔗 Ver Mapa")</f>
        <v>🔗 Ver Mapa</v>
      </c>
    </row>
    <row r="72" spans="1:12" ht="43.5" x14ac:dyDescent="0.35">
      <c r="A72" s="6" t="s">
        <v>8</v>
      </c>
      <c r="B72" s="6" t="s">
        <v>16</v>
      </c>
      <c r="C72" s="6" t="s">
        <v>27</v>
      </c>
      <c r="D72" s="6" t="s">
        <v>35</v>
      </c>
      <c r="E72" s="6" t="s">
        <v>37</v>
      </c>
      <c r="F72" s="6" t="s">
        <v>45</v>
      </c>
      <c r="G72" s="6" t="s">
        <v>52</v>
      </c>
      <c r="H72" s="6" t="s">
        <v>59</v>
      </c>
      <c r="I72" s="6" t="s">
        <v>63</v>
      </c>
      <c r="J72" s="6">
        <v>16.983687892949</v>
      </c>
      <c r="K72" s="6">
        <v>-96.890823977666997</v>
      </c>
      <c r="L72" s="6" t="str">
        <f>HYPERLINK("https://maps.google.com/?q=16.9836878929489,-96.890823977667196", "🔗 Ver Mapa")</f>
        <v>🔗 Ver Mapa</v>
      </c>
    </row>
    <row r="73" spans="1:12" ht="43.5" x14ac:dyDescent="0.35">
      <c r="A73" s="5" t="s">
        <v>8</v>
      </c>
      <c r="B73" s="5" t="s">
        <v>16</v>
      </c>
      <c r="C73" s="5" t="s">
        <v>27</v>
      </c>
      <c r="D73" s="5" t="s">
        <v>35</v>
      </c>
      <c r="E73" s="5" t="s">
        <v>37</v>
      </c>
      <c r="F73" s="5" t="s">
        <v>45</v>
      </c>
      <c r="G73" s="5" t="s">
        <v>52</v>
      </c>
      <c r="H73" s="5" t="s">
        <v>59</v>
      </c>
      <c r="I73" s="5" t="s">
        <v>63</v>
      </c>
      <c r="J73" s="5">
        <v>16.984171438632998</v>
      </c>
      <c r="K73" s="5">
        <v>-96.892389046627002</v>
      </c>
      <c r="L73" s="5" t="str">
        <f>HYPERLINK("https://maps.google.com/?q=16.9841714386325,-96.892389046627201", "🔗 Ver Mapa")</f>
        <v>🔗 Ver Mapa</v>
      </c>
    </row>
    <row r="74" spans="1:12" ht="43.5" x14ac:dyDescent="0.35">
      <c r="A74" s="6" t="s">
        <v>8</v>
      </c>
      <c r="B74" s="6" t="s">
        <v>16</v>
      </c>
      <c r="C74" s="6" t="s">
        <v>27</v>
      </c>
      <c r="D74" s="6" t="s">
        <v>35</v>
      </c>
      <c r="E74" s="6" t="s">
        <v>37</v>
      </c>
      <c r="F74" s="6" t="s">
        <v>45</v>
      </c>
      <c r="G74" s="6" t="s">
        <v>52</v>
      </c>
      <c r="H74" s="6" t="s">
        <v>59</v>
      </c>
      <c r="I74" s="6" t="s">
        <v>63</v>
      </c>
      <c r="J74" s="6">
        <v>16.984235133500999</v>
      </c>
      <c r="K74" s="6">
        <v>-96.890003003635002</v>
      </c>
      <c r="L74" s="6" t="str">
        <f>HYPERLINK("https://maps.google.com/?q=16.9842351335014,-96.8900030036354", "🔗 Ver Mapa")</f>
        <v>🔗 Ver Mapa</v>
      </c>
    </row>
    <row r="75" spans="1:12" ht="43.5" x14ac:dyDescent="0.35">
      <c r="A75" s="5" t="s">
        <v>8</v>
      </c>
      <c r="B75" s="5" t="s">
        <v>16</v>
      </c>
      <c r="C75" s="5" t="s">
        <v>27</v>
      </c>
      <c r="D75" s="5" t="s">
        <v>35</v>
      </c>
      <c r="E75" s="5" t="s">
        <v>37</v>
      </c>
      <c r="F75" s="5" t="s">
        <v>45</v>
      </c>
      <c r="G75" s="5" t="s">
        <v>52</v>
      </c>
      <c r="H75" s="5" t="s">
        <v>59</v>
      </c>
      <c r="I75" s="5" t="s">
        <v>63</v>
      </c>
      <c r="J75" s="5">
        <v>16.984240306991001</v>
      </c>
      <c r="K75" s="5">
        <v>-96.889782644180002</v>
      </c>
      <c r="L75" s="5" t="str">
        <f>HYPERLINK("https://maps.google.com/?q=16.9842403069909,-96.8897826441804", "🔗 Ver Mapa")</f>
        <v>🔗 Ver Mapa</v>
      </c>
    </row>
    <row r="76" spans="1:12" ht="43.5" x14ac:dyDescent="0.35">
      <c r="A76" s="6" t="s">
        <v>8</v>
      </c>
      <c r="B76" s="6" t="s">
        <v>16</v>
      </c>
      <c r="C76" s="6" t="s">
        <v>28</v>
      </c>
      <c r="D76" s="6" t="s">
        <v>35</v>
      </c>
      <c r="E76" s="6" t="s">
        <v>37</v>
      </c>
      <c r="F76" s="6" t="s">
        <v>45</v>
      </c>
      <c r="G76" s="6" t="s">
        <v>52</v>
      </c>
      <c r="H76" s="6" t="s">
        <v>60</v>
      </c>
      <c r="I76" s="6" t="s">
        <v>63</v>
      </c>
      <c r="J76" s="6">
        <v>17.015303817075001</v>
      </c>
      <c r="K76" s="6">
        <v>-96.859792180390997</v>
      </c>
      <c r="L76" s="6" t="str">
        <f>HYPERLINK("https://maps.google.com/?q=17.0153038170754,-96.859792180391295", "🔗 Ver Mapa")</f>
        <v>🔗 Ver Mapa</v>
      </c>
    </row>
    <row r="77" spans="1:12" ht="43.5" x14ac:dyDescent="0.35">
      <c r="A77" s="5" t="s">
        <v>8</v>
      </c>
      <c r="B77" s="5" t="s">
        <v>16</v>
      </c>
      <c r="C77" s="5" t="s">
        <v>28</v>
      </c>
      <c r="D77" s="5" t="s">
        <v>35</v>
      </c>
      <c r="E77" s="5" t="s">
        <v>37</v>
      </c>
      <c r="F77" s="5" t="s">
        <v>45</v>
      </c>
      <c r="G77" s="5" t="s">
        <v>52</v>
      </c>
      <c r="H77" s="5" t="s">
        <v>60</v>
      </c>
      <c r="I77" s="5" t="s">
        <v>63</v>
      </c>
      <c r="J77" s="5">
        <v>17.016761530979</v>
      </c>
      <c r="K77" s="5">
        <v>-96.872276273644999</v>
      </c>
      <c r="L77" s="5" t="str">
        <f>HYPERLINK("https://maps.google.com/?q=17.0167615309791,-96.872276273645397", "🔗 Ver Mapa")</f>
        <v>🔗 Ver Mapa</v>
      </c>
    </row>
    <row r="78" spans="1:12" ht="43.5" x14ac:dyDescent="0.35">
      <c r="A78" s="6" t="s">
        <v>8</v>
      </c>
      <c r="B78" s="6" t="s">
        <v>16</v>
      </c>
      <c r="C78" s="6" t="s">
        <v>28</v>
      </c>
      <c r="D78" s="6" t="s">
        <v>35</v>
      </c>
      <c r="E78" s="6" t="s">
        <v>37</v>
      </c>
      <c r="F78" s="6" t="s">
        <v>45</v>
      </c>
      <c r="G78" s="6" t="s">
        <v>52</v>
      </c>
      <c r="H78" s="6" t="s">
        <v>60</v>
      </c>
      <c r="I78" s="6" t="s">
        <v>63</v>
      </c>
      <c r="J78" s="6">
        <v>17.017799910000001</v>
      </c>
      <c r="K78" s="6">
        <v>-96.863720282821006</v>
      </c>
      <c r="L78" s="6" t="str">
        <f>HYPERLINK("https://maps.google.com/?q=17.01779991,-96.863720282820694", "🔗 Ver Mapa")</f>
        <v>🔗 Ver Mapa</v>
      </c>
    </row>
    <row r="79" spans="1:12" ht="43.5" x14ac:dyDescent="0.35">
      <c r="A79" s="5" t="s">
        <v>8</v>
      </c>
      <c r="B79" s="5" t="s">
        <v>16</v>
      </c>
      <c r="C79" s="5" t="s">
        <v>28</v>
      </c>
      <c r="D79" s="5" t="s">
        <v>35</v>
      </c>
      <c r="E79" s="5" t="s">
        <v>37</v>
      </c>
      <c r="F79" s="5" t="s">
        <v>45</v>
      </c>
      <c r="G79" s="5" t="s">
        <v>52</v>
      </c>
      <c r="H79" s="5" t="s">
        <v>60</v>
      </c>
      <c r="I79" s="5" t="s">
        <v>63</v>
      </c>
      <c r="J79" s="5">
        <v>17.0180057</v>
      </c>
      <c r="K79" s="5">
        <v>-96.864597989288995</v>
      </c>
      <c r="L79" s="5" t="str">
        <f>HYPERLINK("https://maps.google.com/?q=17.0180057,-96.864597989288697", "🔗 Ver Mapa")</f>
        <v>🔗 Ver Mapa</v>
      </c>
    </row>
    <row r="80" spans="1:12" ht="43.5" x14ac:dyDescent="0.35">
      <c r="A80" s="6" t="s">
        <v>8</v>
      </c>
      <c r="B80" s="6" t="s">
        <v>16</v>
      </c>
      <c r="C80" s="6" t="s">
        <v>28</v>
      </c>
      <c r="D80" s="6" t="s">
        <v>35</v>
      </c>
      <c r="E80" s="6" t="s">
        <v>37</v>
      </c>
      <c r="F80" s="6" t="s">
        <v>45</v>
      </c>
      <c r="G80" s="6" t="s">
        <v>52</v>
      </c>
      <c r="H80" s="6" t="s">
        <v>60</v>
      </c>
      <c r="I80" s="6" t="s">
        <v>63</v>
      </c>
      <c r="J80" s="6">
        <v>17.018201236046</v>
      </c>
      <c r="K80" s="6">
        <v>-96.858724109321997</v>
      </c>
      <c r="L80" s="6" t="str">
        <f>HYPERLINK("https://maps.google.com/?q=17.0182012360457,-96.858724109321798", "🔗 Ver Mapa")</f>
        <v>🔗 Ver Mapa</v>
      </c>
    </row>
    <row r="81" spans="1:12" ht="43.5" x14ac:dyDescent="0.35">
      <c r="A81" s="5" t="s">
        <v>8</v>
      </c>
      <c r="B81" s="5" t="s">
        <v>16</v>
      </c>
      <c r="C81" s="5" t="s">
        <v>28</v>
      </c>
      <c r="D81" s="5" t="s">
        <v>35</v>
      </c>
      <c r="E81" s="5" t="s">
        <v>37</v>
      </c>
      <c r="F81" s="5" t="s">
        <v>45</v>
      </c>
      <c r="G81" s="5" t="s">
        <v>52</v>
      </c>
      <c r="H81" s="5" t="s">
        <v>60</v>
      </c>
      <c r="I81" s="5" t="s">
        <v>63</v>
      </c>
      <c r="J81" s="5">
        <v>17.018349229075</v>
      </c>
      <c r="K81" s="5">
        <v>-96.858707776637999</v>
      </c>
      <c r="L81" s="5" t="str">
        <f>HYPERLINK("https://maps.google.com/?q=17.0183492290747,-96.858707776638397", "🔗 Ver Mapa")</f>
        <v>🔗 Ver Mapa</v>
      </c>
    </row>
    <row r="82" spans="1:12" ht="43.5" x14ac:dyDescent="0.35">
      <c r="A82" s="6" t="s">
        <v>8</v>
      </c>
      <c r="B82" s="6" t="s">
        <v>16</v>
      </c>
      <c r="C82" s="6" t="s">
        <v>28</v>
      </c>
      <c r="D82" s="6" t="s">
        <v>35</v>
      </c>
      <c r="E82" s="6" t="s">
        <v>37</v>
      </c>
      <c r="F82" s="6" t="s">
        <v>45</v>
      </c>
      <c r="G82" s="6" t="s">
        <v>52</v>
      </c>
      <c r="H82" s="6" t="s">
        <v>60</v>
      </c>
      <c r="I82" s="6" t="s">
        <v>63</v>
      </c>
      <c r="J82" s="6">
        <v>17.018537632505002</v>
      </c>
      <c r="K82" s="6">
        <v>-96.863970813432999</v>
      </c>
      <c r="L82" s="6" t="str">
        <f>HYPERLINK("https://maps.google.com/?q=17.0185376325051,-96.863970813433298", "🔗 Ver Mapa")</f>
        <v>🔗 Ver Mapa</v>
      </c>
    </row>
    <row r="83" spans="1:12" ht="43.5" x14ac:dyDescent="0.35">
      <c r="A83" s="5" t="s">
        <v>8</v>
      </c>
      <c r="B83" s="5" t="s">
        <v>16</v>
      </c>
      <c r="C83" s="5" t="s">
        <v>28</v>
      </c>
      <c r="D83" s="5" t="s">
        <v>35</v>
      </c>
      <c r="E83" s="5" t="s">
        <v>37</v>
      </c>
      <c r="F83" s="5" t="s">
        <v>45</v>
      </c>
      <c r="G83" s="5" t="s">
        <v>52</v>
      </c>
      <c r="H83" s="5" t="s">
        <v>60</v>
      </c>
      <c r="I83" s="5" t="s">
        <v>63</v>
      </c>
      <c r="J83" s="5">
        <v>17.019387450436</v>
      </c>
      <c r="K83" s="5">
        <v>-96.863788125165996</v>
      </c>
      <c r="L83" s="5" t="str">
        <f>HYPERLINK("https://maps.google.com/?q=17.0193874504363,-96.863788125165897", "🔗 Ver Mapa")</f>
        <v>🔗 Ver Mapa</v>
      </c>
    </row>
    <row r="84" spans="1:12" ht="43.5" x14ac:dyDescent="0.35">
      <c r="A84" s="6" t="s">
        <v>8</v>
      </c>
      <c r="B84" s="6" t="s">
        <v>16</v>
      </c>
      <c r="C84" s="6" t="s">
        <v>28</v>
      </c>
      <c r="D84" s="6" t="s">
        <v>35</v>
      </c>
      <c r="E84" s="6" t="s">
        <v>37</v>
      </c>
      <c r="F84" s="6" t="s">
        <v>45</v>
      </c>
      <c r="G84" s="6" t="s">
        <v>52</v>
      </c>
      <c r="H84" s="6" t="s">
        <v>60</v>
      </c>
      <c r="I84" s="6" t="s">
        <v>63</v>
      </c>
      <c r="J84" s="6">
        <v>17.020742135921001</v>
      </c>
      <c r="K84" s="6">
        <v>-96.863107833170005</v>
      </c>
      <c r="L84" s="6" t="str">
        <f>HYPERLINK("https://maps.google.com/?q=17.020742135921,-96.863107833169906", "🔗 Ver Mapa")</f>
        <v>🔗 Ver Mapa</v>
      </c>
    </row>
    <row r="85" spans="1:12" ht="43.5" x14ac:dyDescent="0.35">
      <c r="A85" s="5" t="s">
        <v>8</v>
      </c>
      <c r="B85" s="5" t="s">
        <v>16</v>
      </c>
      <c r="C85" s="5" t="s">
        <v>29</v>
      </c>
      <c r="D85" s="5" t="s">
        <v>35</v>
      </c>
      <c r="E85" s="5" t="s">
        <v>37</v>
      </c>
      <c r="F85" s="5" t="s">
        <v>45</v>
      </c>
      <c r="G85" s="5" t="s">
        <v>52</v>
      </c>
      <c r="H85" s="5" t="s">
        <v>61</v>
      </c>
      <c r="I85" s="5" t="s">
        <v>63</v>
      </c>
      <c r="J85" s="5">
        <v>17.007585044328</v>
      </c>
      <c r="K85" s="5">
        <v>-96.890296017197002</v>
      </c>
      <c r="L85" s="5" t="str">
        <f>HYPERLINK("https://maps.google.com/?q=17.0075850443284,-96.890296017196704", "🔗 Ver Mapa")</f>
        <v>🔗 Ver Mapa</v>
      </c>
    </row>
    <row r="86" spans="1:12" ht="43.5" x14ac:dyDescent="0.35">
      <c r="A86" s="6" t="s">
        <v>8</v>
      </c>
      <c r="B86" s="6" t="s">
        <v>16</v>
      </c>
      <c r="C86" s="6" t="s">
        <v>29</v>
      </c>
      <c r="D86" s="6" t="s">
        <v>35</v>
      </c>
      <c r="E86" s="6" t="s">
        <v>37</v>
      </c>
      <c r="F86" s="6" t="s">
        <v>45</v>
      </c>
      <c r="G86" s="6" t="s">
        <v>52</v>
      </c>
      <c r="H86" s="6" t="s">
        <v>61</v>
      </c>
      <c r="I86" s="6" t="s">
        <v>63</v>
      </c>
      <c r="J86" s="6">
        <v>17.007795697376999</v>
      </c>
      <c r="K86" s="6">
        <v>-96.890232067458996</v>
      </c>
      <c r="L86" s="6" t="str">
        <f>HYPERLINK("https://maps.google.com/?q=17.007795697377,-96.890232067459095", "🔗 Ver Mapa")</f>
        <v>🔗 Ver Mapa</v>
      </c>
    </row>
    <row r="87" spans="1:12" ht="43.5" x14ac:dyDescent="0.35">
      <c r="A87" s="5" t="s">
        <v>8</v>
      </c>
      <c r="B87" s="5" t="s">
        <v>16</v>
      </c>
      <c r="C87" s="5" t="s">
        <v>29</v>
      </c>
      <c r="D87" s="5" t="s">
        <v>35</v>
      </c>
      <c r="E87" s="5" t="s">
        <v>37</v>
      </c>
      <c r="F87" s="5" t="s">
        <v>45</v>
      </c>
      <c r="G87" s="5" t="s">
        <v>52</v>
      </c>
      <c r="H87" s="5" t="s">
        <v>61</v>
      </c>
      <c r="I87" s="5" t="s">
        <v>63</v>
      </c>
      <c r="J87" s="5">
        <v>17.007858108632998</v>
      </c>
      <c r="K87" s="5">
        <v>-96.890800908073999</v>
      </c>
      <c r="L87" s="5" t="str">
        <f>HYPERLINK("https://maps.google.com/?q=17.0078581086326,-96.890800908073501", "🔗 Ver Mapa")</f>
        <v>🔗 Ver Mapa</v>
      </c>
    </row>
    <row r="88" spans="1:12" ht="43.5" x14ac:dyDescent="0.35">
      <c r="A88" s="6" t="s">
        <v>8</v>
      </c>
      <c r="B88" s="6" t="s">
        <v>16</v>
      </c>
      <c r="C88" s="6" t="s">
        <v>29</v>
      </c>
      <c r="D88" s="6" t="s">
        <v>35</v>
      </c>
      <c r="E88" s="6" t="s">
        <v>37</v>
      </c>
      <c r="F88" s="6" t="s">
        <v>45</v>
      </c>
      <c r="G88" s="6" t="s">
        <v>52</v>
      </c>
      <c r="H88" s="6" t="s">
        <v>61</v>
      </c>
      <c r="I88" s="6" t="s">
        <v>63</v>
      </c>
      <c r="J88" s="6">
        <v>17.007995761185999</v>
      </c>
      <c r="K88" s="6">
        <v>-96.890107407157998</v>
      </c>
      <c r="L88" s="6" t="str">
        <f>HYPERLINK("https://maps.google.com/?q=17.0079957611859,-96.890107407157899", "🔗 Ver Mapa")</f>
        <v>🔗 Ver Mapa</v>
      </c>
    </row>
    <row r="89" spans="1:12" ht="43.5" x14ac:dyDescent="0.35">
      <c r="A89" s="5" t="s">
        <v>8</v>
      </c>
      <c r="B89" s="5" t="s">
        <v>16</v>
      </c>
      <c r="C89" s="5" t="s">
        <v>29</v>
      </c>
      <c r="D89" s="5" t="s">
        <v>35</v>
      </c>
      <c r="E89" s="5" t="s">
        <v>37</v>
      </c>
      <c r="F89" s="5" t="s">
        <v>45</v>
      </c>
      <c r="G89" s="5" t="s">
        <v>52</v>
      </c>
      <c r="H89" s="5" t="s">
        <v>61</v>
      </c>
      <c r="I89" s="5" t="s">
        <v>63</v>
      </c>
      <c r="J89" s="5">
        <v>17.008309530780998</v>
      </c>
      <c r="K89" s="5">
        <v>-96.890398576720997</v>
      </c>
      <c r="L89" s="5" t="str">
        <f>HYPERLINK("https://maps.google.com/?q=17.0083095307812,-96.890398576721196", "🔗 Ver Mapa")</f>
        <v>🔗 Ver Mapa</v>
      </c>
    </row>
    <row r="90" spans="1:12" ht="43.5" x14ac:dyDescent="0.35">
      <c r="A90" s="6" t="s">
        <v>8</v>
      </c>
      <c r="B90" s="6" t="s">
        <v>16</v>
      </c>
      <c r="C90" s="6" t="s">
        <v>29</v>
      </c>
      <c r="D90" s="6" t="s">
        <v>35</v>
      </c>
      <c r="E90" s="6" t="s">
        <v>37</v>
      </c>
      <c r="F90" s="6" t="s">
        <v>45</v>
      </c>
      <c r="G90" s="6" t="s">
        <v>52</v>
      </c>
      <c r="H90" s="6" t="s">
        <v>61</v>
      </c>
      <c r="I90" s="6" t="s">
        <v>63</v>
      </c>
      <c r="J90" s="6">
        <v>17.008905156365</v>
      </c>
      <c r="K90" s="6">
        <v>-96.890716549599006</v>
      </c>
      <c r="L90" s="6" t="str">
        <f>HYPERLINK("https://maps.google.com/?q=17.0089051563651,-96.890716549598807", "🔗 Ver Mapa")</f>
        <v>🔗 Ver Mapa</v>
      </c>
    </row>
    <row r="91" spans="1:12" ht="43.5" x14ac:dyDescent="0.35">
      <c r="A91" s="5" t="s">
        <v>8</v>
      </c>
      <c r="B91" s="5" t="s">
        <v>16</v>
      </c>
      <c r="C91" s="5" t="s">
        <v>29</v>
      </c>
      <c r="D91" s="5" t="s">
        <v>35</v>
      </c>
      <c r="E91" s="5" t="s">
        <v>37</v>
      </c>
      <c r="F91" s="5" t="s">
        <v>45</v>
      </c>
      <c r="G91" s="5" t="s">
        <v>52</v>
      </c>
      <c r="H91" s="5" t="s">
        <v>61</v>
      </c>
      <c r="I91" s="5" t="s">
        <v>63</v>
      </c>
      <c r="J91" s="5">
        <v>17.009240030579999</v>
      </c>
      <c r="K91" s="5">
        <v>-96.890323771827994</v>
      </c>
      <c r="L91" s="5" t="str">
        <f>HYPERLINK("https://maps.google.com/?q=17.0092400305799,-96.890323771827696", "🔗 Ver Mapa")</f>
        <v>🔗 Ver Mapa</v>
      </c>
    </row>
    <row r="92" spans="1:12" ht="43.5" x14ac:dyDescent="0.35">
      <c r="A92" s="6" t="s">
        <v>8</v>
      </c>
      <c r="B92" s="6" t="s">
        <v>16</v>
      </c>
      <c r="C92" s="6" t="s">
        <v>29</v>
      </c>
      <c r="D92" s="6" t="s">
        <v>35</v>
      </c>
      <c r="E92" s="6" t="s">
        <v>37</v>
      </c>
      <c r="F92" s="6" t="s">
        <v>45</v>
      </c>
      <c r="G92" s="6" t="s">
        <v>52</v>
      </c>
      <c r="H92" s="6" t="s">
        <v>61</v>
      </c>
      <c r="I92" s="6" t="s">
        <v>63</v>
      </c>
      <c r="J92" s="6">
        <v>17.009979910889001</v>
      </c>
      <c r="K92" s="6">
        <v>-96.890314215938005</v>
      </c>
      <c r="L92" s="6" t="str">
        <f>HYPERLINK("https://maps.google.com/?q=17.0099799108893,-96.890314215937906", "🔗 Ver Mapa")</f>
        <v>🔗 Ver Mapa</v>
      </c>
    </row>
    <row r="93" spans="1:12" ht="43.5" x14ac:dyDescent="0.35">
      <c r="A93" s="5" t="s">
        <v>8</v>
      </c>
      <c r="B93" s="5" t="s">
        <v>16</v>
      </c>
      <c r="C93" s="5" t="s">
        <v>29</v>
      </c>
      <c r="D93" s="5" t="s">
        <v>35</v>
      </c>
      <c r="E93" s="5" t="s">
        <v>37</v>
      </c>
      <c r="F93" s="5" t="s">
        <v>45</v>
      </c>
      <c r="G93" s="5" t="s">
        <v>52</v>
      </c>
      <c r="H93" s="5" t="s">
        <v>61</v>
      </c>
      <c r="I93" s="5" t="s">
        <v>63</v>
      </c>
      <c r="J93" s="5">
        <v>17.009983094456999</v>
      </c>
      <c r="K93" s="5">
        <v>-96.890860822090005</v>
      </c>
      <c r="L93" s="5" t="str">
        <f>HYPERLINK("https://maps.google.com/?q=17.0099830944573,-96.890860822090204", "🔗 Ver Mapa")</f>
        <v>🔗 Ver Mapa</v>
      </c>
    </row>
    <row r="94" spans="1:12" ht="43.5" x14ac:dyDescent="0.35">
      <c r="A94" s="6" t="s">
        <v>8</v>
      </c>
      <c r="B94" s="6" t="s">
        <v>16</v>
      </c>
      <c r="C94" s="6" t="s">
        <v>29</v>
      </c>
      <c r="D94" s="6" t="s">
        <v>35</v>
      </c>
      <c r="E94" s="6" t="s">
        <v>37</v>
      </c>
      <c r="F94" s="6" t="s">
        <v>45</v>
      </c>
      <c r="G94" s="6" t="s">
        <v>52</v>
      </c>
      <c r="H94" s="6" t="s">
        <v>61</v>
      </c>
      <c r="I94" s="6" t="s">
        <v>63</v>
      </c>
      <c r="J94" s="6">
        <v>17.010839050537001</v>
      </c>
      <c r="K94" s="6">
        <v>-96.890320738933994</v>
      </c>
      <c r="L94" s="6" t="str">
        <f>HYPERLINK("https://maps.google.com/?q=17.0108390505372,-96.890320738934093", "🔗 Ver Mapa")</f>
        <v>🔗 Ver Mapa</v>
      </c>
    </row>
    <row r="95" spans="1:12" ht="43.5" x14ac:dyDescent="0.35">
      <c r="A95" s="5" t="s">
        <v>8</v>
      </c>
      <c r="B95" s="5" t="s">
        <v>16</v>
      </c>
      <c r="C95" s="5" t="s">
        <v>29</v>
      </c>
      <c r="D95" s="5" t="s">
        <v>35</v>
      </c>
      <c r="E95" s="5" t="s">
        <v>37</v>
      </c>
      <c r="F95" s="5" t="s">
        <v>45</v>
      </c>
      <c r="G95" s="5" t="s">
        <v>52</v>
      </c>
      <c r="H95" s="5" t="s">
        <v>61</v>
      </c>
      <c r="I95" s="5" t="s">
        <v>63</v>
      </c>
      <c r="J95" s="5">
        <v>17.011337676343999</v>
      </c>
      <c r="K95" s="5">
        <v>-96.889614219574</v>
      </c>
      <c r="L95" s="5" t="str">
        <f>HYPERLINK("https://maps.google.com/?q=17.0113376763444,-96.8896142195739", "🔗 Ver Mapa")</f>
        <v>🔗 Ver Mapa</v>
      </c>
    </row>
    <row r="96" spans="1:12" ht="43.5" x14ac:dyDescent="0.35">
      <c r="A96" s="6" t="s">
        <v>8</v>
      </c>
      <c r="B96" s="6" t="s">
        <v>16</v>
      </c>
      <c r="C96" s="6" t="s">
        <v>29</v>
      </c>
      <c r="D96" s="6" t="s">
        <v>35</v>
      </c>
      <c r="E96" s="6" t="s">
        <v>37</v>
      </c>
      <c r="F96" s="6" t="s">
        <v>45</v>
      </c>
      <c r="G96" s="6" t="s">
        <v>52</v>
      </c>
      <c r="H96" s="6" t="s">
        <v>61</v>
      </c>
      <c r="I96" s="6" t="s">
        <v>63</v>
      </c>
      <c r="J96" s="6">
        <v>17.011473741143</v>
      </c>
      <c r="K96" s="6">
        <v>-96.890180999999998</v>
      </c>
      <c r="L96" s="6" t="str">
        <f>HYPERLINK("https://maps.google.com/?q=17.0114737411432,-96.890180999999998", "🔗 Ver Mapa")</f>
        <v>🔗 Ver Mapa</v>
      </c>
    </row>
    <row r="97" spans="1:12" ht="43.5" x14ac:dyDescent="0.35">
      <c r="A97" s="5" t="s">
        <v>8</v>
      </c>
      <c r="B97" s="5" t="s">
        <v>16</v>
      </c>
      <c r="C97" s="5" t="s">
        <v>29</v>
      </c>
      <c r="D97" s="5" t="s">
        <v>35</v>
      </c>
      <c r="E97" s="5" t="s">
        <v>37</v>
      </c>
      <c r="F97" s="5" t="s">
        <v>45</v>
      </c>
      <c r="G97" s="5" t="s">
        <v>52</v>
      </c>
      <c r="H97" s="5" t="s">
        <v>61</v>
      </c>
      <c r="I97" s="5" t="s">
        <v>63</v>
      </c>
      <c r="J97" s="5">
        <v>17.011752834877999</v>
      </c>
      <c r="K97" s="5">
        <v>-96.890138113041999</v>
      </c>
      <c r="L97" s="5" t="str">
        <f>HYPERLINK("https://maps.google.com/?q=17.0117528348777,-96.890138113041701", "🔗 Ver Mapa")</f>
        <v>🔗 Ver Mapa</v>
      </c>
    </row>
    <row r="98" spans="1:12" ht="43.5" x14ac:dyDescent="0.35">
      <c r="A98" s="6" t="s">
        <v>8</v>
      </c>
      <c r="B98" s="6" t="s">
        <v>16</v>
      </c>
      <c r="C98" s="6" t="s">
        <v>29</v>
      </c>
      <c r="D98" s="6" t="s">
        <v>35</v>
      </c>
      <c r="E98" s="6" t="s">
        <v>37</v>
      </c>
      <c r="F98" s="6" t="s">
        <v>45</v>
      </c>
      <c r="G98" s="6" t="s">
        <v>52</v>
      </c>
      <c r="H98" s="6" t="s">
        <v>61</v>
      </c>
      <c r="I98" s="6" t="s">
        <v>63</v>
      </c>
      <c r="J98" s="6">
        <v>17.011986969291002</v>
      </c>
      <c r="K98" s="6">
        <v>-96.889639646568</v>
      </c>
      <c r="L98" s="6" t="str">
        <f>HYPERLINK("https://maps.google.com/?q=17.0119869692908,-96.889639646567701", "🔗 Ver Mapa")</f>
        <v>🔗 Ver Mapa</v>
      </c>
    </row>
    <row r="99" spans="1:12" ht="43.5" x14ac:dyDescent="0.35">
      <c r="A99" s="5" t="s">
        <v>8</v>
      </c>
      <c r="B99" s="5" t="s">
        <v>16</v>
      </c>
      <c r="C99" s="5" t="s">
        <v>29</v>
      </c>
      <c r="D99" s="5" t="s">
        <v>35</v>
      </c>
      <c r="E99" s="5" t="s">
        <v>37</v>
      </c>
      <c r="F99" s="5" t="s">
        <v>45</v>
      </c>
      <c r="G99" s="5" t="s">
        <v>52</v>
      </c>
      <c r="H99" s="5" t="s">
        <v>61</v>
      </c>
      <c r="I99" s="5" t="s">
        <v>63</v>
      </c>
      <c r="J99" s="5">
        <v>17.012000033100001</v>
      </c>
      <c r="K99" s="5">
        <v>-96.889231299613996</v>
      </c>
      <c r="L99" s="5" t="str">
        <f>HYPERLINK("https://maps.google.com/?q=17.0120000331,-96.889231299614195", "🔗 Ver Mapa")</f>
        <v>🔗 Ver Mapa</v>
      </c>
    </row>
    <row r="100" spans="1:12" ht="43.5" x14ac:dyDescent="0.35">
      <c r="A100" s="6" t="s">
        <v>8</v>
      </c>
      <c r="B100" s="6" t="s">
        <v>16</v>
      </c>
      <c r="C100" s="6" t="s">
        <v>29</v>
      </c>
      <c r="D100" s="6" t="s">
        <v>35</v>
      </c>
      <c r="E100" s="6" t="s">
        <v>37</v>
      </c>
      <c r="F100" s="6" t="s">
        <v>45</v>
      </c>
      <c r="G100" s="6" t="s">
        <v>52</v>
      </c>
      <c r="H100" s="6" t="s">
        <v>61</v>
      </c>
      <c r="I100" s="6" t="s">
        <v>63</v>
      </c>
      <c r="J100" s="6">
        <v>17.012109034826999</v>
      </c>
      <c r="K100" s="6">
        <v>-96.890169935431999</v>
      </c>
      <c r="L100" s="6" t="str">
        <f>HYPERLINK("https://maps.google.com/?q=17.0121090348265,-96.890169935432198", "🔗 Ver Mapa")</f>
        <v>🔗 Ver Mapa</v>
      </c>
    </row>
    <row r="101" spans="1:12" ht="43.5" x14ac:dyDescent="0.35">
      <c r="A101" s="5" t="s">
        <v>8</v>
      </c>
      <c r="B101" s="5" t="s">
        <v>16</v>
      </c>
      <c r="C101" s="5" t="s">
        <v>29</v>
      </c>
      <c r="D101" s="5" t="s">
        <v>35</v>
      </c>
      <c r="E101" s="5" t="s">
        <v>37</v>
      </c>
      <c r="F101" s="5" t="s">
        <v>45</v>
      </c>
      <c r="G101" s="5" t="s">
        <v>52</v>
      </c>
      <c r="H101" s="5" t="s">
        <v>61</v>
      </c>
      <c r="I101" s="5" t="s">
        <v>63</v>
      </c>
      <c r="J101" s="5">
        <v>17.012154874421</v>
      </c>
      <c r="K101" s="5">
        <v>-96.890191757221999</v>
      </c>
      <c r="L101" s="5" t="str">
        <f>HYPERLINK("https://maps.google.com/?q=17.0121548744209,-96.890191757221601", "🔗 Ver Mapa")</f>
        <v>🔗 Ver Mapa</v>
      </c>
    </row>
    <row r="102" spans="1:12" ht="43.5" x14ac:dyDescent="0.35">
      <c r="A102" s="6" t="s">
        <v>8</v>
      </c>
      <c r="B102" s="6" t="s">
        <v>16</v>
      </c>
      <c r="C102" s="6" t="s">
        <v>29</v>
      </c>
      <c r="D102" s="6" t="s">
        <v>35</v>
      </c>
      <c r="E102" s="6" t="s">
        <v>37</v>
      </c>
      <c r="F102" s="6" t="s">
        <v>45</v>
      </c>
      <c r="G102" s="6" t="s">
        <v>52</v>
      </c>
      <c r="H102" s="6" t="s">
        <v>61</v>
      </c>
      <c r="I102" s="6" t="s">
        <v>63</v>
      </c>
      <c r="J102" s="6">
        <v>17.012373540429</v>
      </c>
      <c r="K102" s="6">
        <v>-96.888940360435996</v>
      </c>
      <c r="L102" s="6" t="str">
        <f>HYPERLINK("https://maps.google.com/?q=17.0123735404288,-96.888940360435896", "🔗 Ver Mapa")</f>
        <v>🔗 Ver Mapa</v>
      </c>
    </row>
    <row r="103" spans="1:12" ht="43.5" x14ac:dyDescent="0.35">
      <c r="A103" s="5" t="s">
        <v>8</v>
      </c>
      <c r="B103" s="5" t="s">
        <v>16</v>
      </c>
      <c r="C103" s="5" t="s">
        <v>29</v>
      </c>
      <c r="D103" s="5" t="s">
        <v>35</v>
      </c>
      <c r="E103" s="5" t="s">
        <v>37</v>
      </c>
      <c r="F103" s="5" t="s">
        <v>45</v>
      </c>
      <c r="G103" s="5" t="s">
        <v>52</v>
      </c>
      <c r="H103" s="5" t="s">
        <v>61</v>
      </c>
      <c r="I103" s="5" t="s">
        <v>63</v>
      </c>
      <c r="J103" s="5">
        <v>17.012392965242</v>
      </c>
      <c r="K103" s="5">
        <v>-96.889737877315</v>
      </c>
      <c r="L103" s="5" t="str">
        <f>HYPERLINK("https://maps.google.com/?q=17.0123929652416,-96.889737877315298", "🔗 Ver Mapa")</f>
        <v>🔗 Ver Mapa</v>
      </c>
    </row>
    <row r="104" spans="1:12" ht="43.5" x14ac:dyDescent="0.35">
      <c r="A104" s="6" t="s">
        <v>8</v>
      </c>
      <c r="B104" s="6" t="s">
        <v>16</v>
      </c>
      <c r="C104" s="6" t="s">
        <v>29</v>
      </c>
      <c r="D104" s="6" t="s">
        <v>35</v>
      </c>
      <c r="E104" s="6" t="s">
        <v>37</v>
      </c>
      <c r="F104" s="6" t="s">
        <v>45</v>
      </c>
      <c r="G104" s="6" t="s">
        <v>52</v>
      </c>
      <c r="H104" s="6" t="s">
        <v>61</v>
      </c>
      <c r="I104" s="6" t="s">
        <v>63</v>
      </c>
      <c r="J104" s="6">
        <v>17.01525479304</v>
      </c>
      <c r="K104" s="6">
        <v>-96.888448094582003</v>
      </c>
      <c r="L104" s="6" t="str">
        <f>HYPERLINK("https://maps.google.com/?q=17.01525479304,-96.888448094581705", "🔗 Ver Mapa")</f>
        <v>🔗 Ver Mapa</v>
      </c>
    </row>
    <row r="105" spans="1:12" ht="43.5" x14ac:dyDescent="0.35">
      <c r="A105" s="5" t="s">
        <v>8</v>
      </c>
      <c r="B105" s="5" t="s">
        <v>16</v>
      </c>
      <c r="C105" s="5" t="s">
        <v>29</v>
      </c>
      <c r="D105" s="5" t="s">
        <v>35</v>
      </c>
      <c r="E105" s="5" t="s">
        <v>37</v>
      </c>
      <c r="F105" s="5" t="s">
        <v>45</v>
      </c>
      <c r="G105" s="5" t="s">
        <v>52</v>
      </c>
      <c r="H105" s="5" t="s">
        <v>61</v>
      </c>
      <c r="I105" s="5" t="s">
        <v>63</v>
      </c>
      <c r="J105" s="5">
        <v>17.015563851227999</v>
      </c>
      <c r="K105" s="5">
        <v>-96.887776201223005</v>
      </c>
      <c r="L105" s="5" t="str">
        <f>HYPERLINK("https://maps.google.com/?q=17.0155638512276,-96.887776201223303", "🔗 Ver Mapa")</f>
        <v>🔗 Ver Mapa</v>
      </c>
    </row>
    <row r="106" spans="1:12" ht="43.5" x14ac:dyDescent="0.35">
      <c r="A106" s="6" t="s">
        <v>8</v>
      </c>
      <c r="B106" s="6" t="s">
        <v>16</v>
      </c>
      <c r="C106" s="6" t="s">
        <v>73</v>
      </c>
      <c r="D106" s="6" t="s">
        <v>35</v>
      </c>
      <c r="E106" s="6" t="s">
        <v>37</v>
      </c>
      <c r="F106" s="6" t="s">
        <v>45</v>
      </c>
      <c r="G106" s="6" t="s">
        <v>52</v>
      </c>
      <c r="H106" s="6" t="s">
        <v>74</v>
      </c>
      <c r="I106" s="6" t="s">
        <v>63</v>
      </c>
      <c r="J106" s="6">
        <v>16.971361724537001</v>
      </c>
      <c r="K106" s="6">
        <v>-96.908786590283</v>
      </c>
      <c r="L106" s="6" t="str">
        <f>HYPERLINK("https://maps.google.com/?q=16.9713617245366,-96.908786590282503", "🔗 Ver Mapa")</f>
        <v>🔗 Ver Mapa</v>
      </c>
    </row>
    <row r="107" spans="1:12" ht="43.5" x14ac:dyDescent="0.35">
      <c r="A107" s="5" t="s">
        <v>8</v>
      </c>
      <c r="B107" s="5" t="s">
        <v>16</v>
      </c>
      <c r="C107" s="5" t="s">
        <v>73</v>
      </c>
      <c r="D107" s="5" t="s">
        <v>35</v>
      </c>
      <c r="E107" s="5" t="s">
        <v>37</v>
      </c>
      <c r="F107" s="5" t="s">
        <v>45</v>
      </c>
      <c r="G107" s="5" t="s">
        <v>52</v>
      </c>
      <c r="H107" s="5" t="s">
        <v>74</v>
      </c>
      <c r="I107" s="5" t="s">
        <v>63</v>
      </c>
      <c r="J107" s="5">
        <v>16.971483259871999</v>
      </c>
      <c r="K107" s="5">
        <v>-96.908887368685996</v>
      </c>
      <c r="L107" s="5" t="str">
        <f>HYPERLINK("https://maps.google.com/?q=16.9714832598717,-96.908887368686194", "🔗 Ver Mapa")</f>
        <v>🔗 Ver Mapa</v>
      </c>
    </row>
    <row r="108" spans="1:12" ht="43.5" x14ac:dyDescent="0.35">
      <c r="A108" s="6" t="s">
        <v>8</v>
      </c>
      <c r="B108" s="6" t="s">
        <v>16</v>
      </c>
      <c r="C108" s="6" t="s">
        <v>73</v>
      </c>
      <c r="D108" s="6" t="s">
        <v>35</v>
      </c>
      <c r="E108" s="6" t="s">
        <v>37</v>
      </c>
      <c r="F108" s="6" t="s">
        <v>45</v>
      </c>
      <c r="G108" s="6" t="s">
        <v>52</v>
      </c>
      <c r="H108" s="6" t="s">
        <v>74</v>
      </c>
      <c r="I108" s="6" t="s">
        <v>63</v>
      </c>
      <c r="J108" s="6">
        <v>16.972109216239001</v>
      </c>
      <c r="K108" s="6">
        <v>-96.913133305556997</v>
      </c>
      <c r="L108" s="6" t="str">
        <f>HYPERLINK("https://maps.google.com/?q=16.9721092162393,-96.913133305557494", "🔗 Ver Mapa")</f>
        <v>🔗 Ver Mapa</v>
      </c>
    </row>
    <row r="109" spans="1:12" ht="43.5" x14ac:dyDescent="0.35">
      <c r="A109" s="5" t="s">
        <v>8</v>
      </c>
      <c r="B109" s="5" t="s">
        <v>16</v>
      </c>
      <c r="C109" s="5" t="s">
        <v>73</v>
      </c>
      <c r="D109" s="5" t="s">
        <v>35</v>
      </c>
      <c r="E109" s="5" t="s">
        <v>37</v>
      </c>
      <c r="F109" s="5" t="s">
        <v>45</v>
      </c>
      <c r="G109" s="5" t="s">
        <v>52</v>
      </c>
      <c r="H109" s="5" t="s">
        <v>74</v>
      </c>
      <c r="I109" s="5" t="s">
        <v>63</v>
      </c>
      <c r="J109" s="5">
        <v>16.972318218011999</v>
      </c>
      <c r="K109" s="5">
        <v>-96.913419364418004</v>
      </c>
      <c r="L109" s="5" t="str">
        <f>HYPERLINK("https://maps.google.com/?q=16.972318218012,-96.913419364418203", "🔗 Ver Mapa")</f>
        <v>🔗 Ver Mapa</v>
      </c>
    </row>
    <row r="110" spans="1:12" ht="43.5" x14ac:dyDescent="0.35">
      <c r="A110" s="6" t="s">
        <v>8</v>
      </c>
      <c r="B110" s="6" t="s">
        <v>16</v>
      </c>
      <c r="C110" s="6" t="s">
        <v>73</v>
      </c>
      <c r="D110" s="6" t="s">
        <v>35</v>
      </c>
      <c r="E110" s="6" t="s">
        <v>37</v>
      </c>
      <c r="F110" s="6" t="s">
        <v>45</v>
      </c>
      <c r="G110" s="6" t="s">
        <v>52</v>
      </c>
      <c r="H110" s="6" t="s">
        <v>74</v>
      </c>
      <c r="I110" s="6" t="s">
        <v>63</v>
      </c>
      <c r="J110" s="6">
        <v>16.972537602700001</v>
      </c>
      <c r="K110" s="6">
        <v>-96.909522326388995</v>
      </c>
      <c r="L110" s="6" t="str">
        <f>HYPERLINK("https://maps.google.com/?q=16.9725376027002,-96.909522326389194", "🔗 Ver Mapa")</f>
        <v>🔗 Ver Mapa</v>
      </c>
    </row>
    <row r="111" spans="1:12" ht="43.5" x14ac:dyDescent="0.35">
      <c r="A111" s="5" t="s">
        <v>8</v>
      </c>
      <c r="B111" s="5" t="s">
        <v>16</v>
      </c>
      <c r="C111" s="5" t="s">
        <v>73</v>
      </c>
      <c r="D111" s="5" t="s">
        <v>35</v>
      </c>
      <c r="E111" s="5" t="s">
        <v>37</v>
      </c>
      <c r="F111" s="5" t="s">
        <v>45</v>
      </c>
      <c r="G111" s="5" t="s">
        <v>52</v>
      </c>
      <c r="H111" s="5" t="s">
        <v>74</v>
      </c>
      <c r="I111" s="5" t="s">
        <v>63</v>
      </c>
      <c r="J111" s="5">
        <v>16.973497087462999</v>
      </c>
      <c r="K111" s="5">
        <v>-96.912859720238004</v>
      </c>
      <c r="L111" s="5" t="str">
        <f>HYPERLINK("https://maps.google.com/?q=16.9734970874631,-96.912859720237705", "🔗 Ver Mapa")</f>
        <v>🔗 Ver Mapa</v>
      </c>
    </row>
    <row r="112" spans="1:12" ht="43.5" x14ac:dyDescent="0.35">
      <c r="A112" s="6" t="s">
        <v>8</v>
      </c>
      <c r="B112" s="6" t="s">
        <v>16</v>
      </c>
      <c r="C112" s="6" t="s">
        <v>73</v>
      </c>
      <c r="D112" s="6" t="s">
        <v>35</v>
      </c>
      <c r="E112" s="6" t="s">
        <v>37</v>
      </c>
      <c r="F112" s="6" t="s">
        <v>45</v>
      </c>
      <c r="G112" s="6" t="s">
        <v>52</v>
      </c>
      <c r="H112" s="6" t="s">
        <v>74</v>
      </c>
      <c r="I112" s="6" t="s">
        <v>63</v>
      </c>
      <c r="J112" s="6">
        <v>16.973535234890999</v>
      </c>
      <c r="K112" s="6">
        <v>-96.910242624774995</v>
      </c>
      <c r="L112" s="6" t="str">
        <f>HYPERLINK("https://maps.google.com/?q=16.9735352348913,-96.910242624774597", "🔗 Ver Mapa")</f>
        <v>🔗 Ver Mapa</v>
      </c>
    </row>
    <row r="113" spans="1:12" ht="43.5" x14ac:dyDescent="0.35">
      <c r="A113" s="5" t="s">
        <v>8</v>
      </c>
      <c r="B113" s="5" t="s">
        <v>16</v>
      </c>
      <c r="C113" s="5" t="s">
        <v>73</v>
      </c>
      <c r="D113" s="5" t="s">
        <v>35</v>
      </c>
      <c r="E113" s="5" t="s">
        <v>37</v>
      </c>
      <c r="F113" s="5" t="s">
        <v>45</v>
      </c>
      <c r="G113" s="5" t="s">
        <v>52</v>
      </c>
      <c r="H113" s="5" t="s">
        <v>74</v>
      </c>
      <c r="I113" s="5" t="s">
        <v>63</v>
      </c>
      <c r="J113" s="5">
        <v>16.974081045118002</v>
      </c>
      <c r="K113" s="5">
        <v>-96.910725504298995</v>
      </c>
      <c r="L113" s="5" t="str">
        <f>HYPERLINK("https://maps.google.com/?q=16.9740810451184,-96.910725504299094", "🔗 Ver Mapa")</f>
        <v>🔗 Ver Mapa</v>
      </c>
    </row>
    <row r="114" spans="1:12" ht="43.5" x14ac:dyDescent="0.35">
      <c r="A114" s="6" t="s">
        <v>8</v>
      </c>
      <c r="B114" s="6" t="s">
        <v>16</v>
      </c>
      <c r="C114" s="6" t="s">
        <v>73</v>
      </c>
      <c r="D114" s="6" t="s">
        <v>35</v>
      </c>
      <c r="E114" s="6" t="s">
        <v>37</v>
      </c>
      <c r="F114" s="6" t="s">
        <v>45</v>
      </c>
      <c r="G114" s="6" t="s">
        <v>52</v>
      </c>
      <c r="H114" s="6" t="s">
        <v>74</v>
      </c>
      <c r="I114" s="6" t="s">
        <v>63</v>
      </c>
      <c r="J114" s="6">
        <v>16.975954697469</v>
      </c>
      <c r="K114" s="6">
        <v>-96.908949059494006</v>
      </c>
      <c r="L114" s="6" t="str">
        <f>HYPERLINK("https://maps.google.com/?q=16.9759546974687,-96.908949059493906", "🔗 Ver Mapa")</f>
        <v>🔗 Ver Mapa</v>
      </c>
    </row>
    <row r="115" spans="1:12" ht="43.5" x14ac:dyDescent="0.35">
      <c r="A115" s="5" t="s">
        <v>8</v>
      </c>
      <c r="B115" s="5" t="s">
        <v>16</v>
      </c>
      <c r="C115" s="5" t="s">
        <v>75</v>
      </c>
      <c r="D115" s="5" t="s">
        <v>35</v>
      </c>
      <c r="E115" s="5" t="s">
        <v>37</v>
      </c>
      <c r="F115" s="5" t="s">
        <v>45</v>
      </c>
      <c r="G115" s="5" t="s">
        <v>52</v>
      </c>
      <c r="H115" s="5" t="s">
        <v>76</v>
      </c>
      <c r="I115" s="5" t="s">
        <v>63</v>
      </c>
      <c r="J115" s="5">
        <v>16.951312456278</v>
      </c>
      <c r="K115" s="5">
        <v>-96.898249460152996</v>
      </c>
      <c r="L115" s="5" t="str">
        <f>HYPERLINK("https://maps.google.com/?q=16.9513124562776,-96.898249460153494", "🔗 Ver Mapa")</f>
        <v>🔗 Ver Mapa</v>
      </c>
    </row>
    <row r="116" spans="1:12" ht="43.5" x14ac:dyDescent="0.35">
      <c r="A116" s="6" t="s">
        <v>8</v>
      </c>
      <c r="B116" s="6" t="s">
        <v>16</v>
      </c>
      <c r="C116" s="6" t="s">
        <v>75</v>
      </c>
      <c r="D116" s="6" t="s">
        <v>35</v>
      </c>
      <c r="E116" s="6" t="s">
        <v>37</v>
      </c>
      <c r="F116" s="6" t="s">
        <v>45</v>
      </c>
      <c r="G116" s="6" t="s">
        <v>52</v>
      </c>
      <c r="H116" s="6" t="s">
        <v>76</v>
      </c>
      <c r="I116" s="6" t="s">
        <v>63</v>
      </c>
      <c r="J116" s="6">
        <v>16.951831073508</v>
      </c>
      <c r="K116" s="6">
        <v>-96.893917798776997</v>
      </c>
      <c r="L116" s="6" t="str">
        <f>HYPERLINK("https://maps.google.com/?q=16.9518310735079,-96.893917798776599", "🔗 Ver Mapa")</f>
        <v>🔗 Ver Mapa</v>
      </c>
    </row>
    <row r="117" spans="1:12" ht="43.5" x14ac:dyDescent="0.35">
      <c r="A117" s="5" t="s">
        <v>8</v>
      </c>
      <c r="B117" s="5" t="s">
        <v>16</v>
      </c>
      <c r="C117" s="5" t="s">
        <v>75</v>
      </c>
      <c r="D117" s="5" t="s">
        <v>35</v>
      </c>
      <c r="E117" s="5" t="s">
        <v>37</v>
      </c>
      <c r="F117" s="5" t="s">
        <v>45</v>
      </c>
      <c r="G117" s="5" t="s">
        <v>52</v>
      </c>
      <c r="H117" s="5" t="s">
        <v>76</v>
      </c>
      <c r="I117" s="5" t="s">
        <v>63</v>
      </c>
      <c r="J117" s="5">
        <v>16.952057107148001</v>
      </c>
      <c r="K117" s="5">
        <v>-96.899033625022</v>
      </c>
      <c r="L117" s="5" t="str">
        <f>HYPERLINK("https://maps.google.com/?q=16.9520571071478,-96.899033625022", "🔗 Ver Mapa")</f>
        <v>🔗 Ver Mapa</v>
      </c>
    </row>
    <row r="118" spans="1:12" ht="43.5" x14ac:dyDescent="0.35">
      <c r="A118" s="6" t="s">
        <v>8</v>
      </c>
      <c r="B118" s="6" t="s">
        <v>16</v>
      </c>
      <c r="C118" s="6" t="s">
        <v>75</v>
      </c>
      <c r="D118" s="6" t="s">
        <v>35</v>
      </c>
      <c r="E118" s="6" t="s">
        <v>37</v>
      </c>
      <c r="F118" s="6" t="s">
        <v>45</v>
      </c>
      <c r="G118" s="6" t="s">
        <v>52</v>
      </c>
      <c r="H118" s="6" t="s">
        <v>76</v>
      </c>
      <c r="I118" s="6" t="s">
        <v>63</v>
      </c>
      <c r="J118" s="6">
        <v>16.952301900226999</v>
      </c>
      <c r="K118" s="6">
        <v>-96.899007160102002</v>
      </c>
      <c r="L118" s="6" t="str">
        <f>HYPERLINK("https://maps.google.com/?q=16.9523019002273,-96.899007160102499", "🔗 Ver Mapa")</f>
        <v>🔗 Ver Mapa</v>
      </c>
    </row>
    <row r="119" spans="1:12" ht="43.5" x14ac:dyDescent="0.35">
      <c r="A119" s="5" t="s">
        <v>8</v>
      </c>
      <c r="B119" s="5" t="s">
        <v>16</v>
      </c>
      <c r="C119" s="5" t="s">
        <v>75</v>
      </c>
      <c r="D119" s="5" t="s">
        <v>35</v>
      </c>
      <c r="E119" s="5" t="s">
        <v>37</v>
      </c>
      <c r="F119" s="5" t="s">
        <v>45</v>
      </c>
      <c r="G119" s="5" t="s">
        <v>52</v>
      </c>
      <c r="H119" s="5" t="s">
        <v>76</v>
      </c>
      <c r="I119" s="5" t="s">
        <v>63</v>
      </c>
      <c r="J119" s="5">
        <v>16.953122239999999</v>
      </c>
      <c r="K119" s="5">
        <v>-96.895156459999995</v>
      </c>
      <c r="L119" s="5" t="str">
        <f>HYPERLINK("https://maps.google.com/?q=16.95312224,-96.895156459999995", "🔗 Ver Mapa")</f>
        <v>🔗 Ver Mapa</v>
      </c>
    </row>
    <row r="120" spans="1:12" ht="43.5" x14ac:dyDescent="0.35">
      <c r="A120" s="6" t="s">
        <v>8</v>
      </c>
      <c r="B120" s="6" t="s">
        <v>16</v>
      </c>
      <c r="C120" s="6" t="s">
        <v>75</v>
      </c>
      <c r="D120" s="6" t="s">
        <v>35</v>
      </c>
      <c r="E120" s="6" t="s">
        <v>37</v>
      </c>
      <c r="F120" s="6" t="s">
        <v>45</v>
      </c>
      <c r="G120" s="6" t="s">
        <v>52</v>
      </c>
      <c r="H120" s="6" t="s">
        <v>76</v>
      </c>
      <c r="I120" s="6" t="s">
        <v>63</v>
      </c>
      <c r="J120" s="6">
        <v>16.954879810483</v>
      </c>
      <c r="K120" s="6">
        <v>-96.900160174850996</v>
      </c>
      <c r="L120" s="6" t="str">
        <f>HYPERLINK("https://maps.google.com/?q=16.9548798104827,-96.900160174851393", "🔗 Ver Mapa")</f>
        <v>🔗 Ver Mapa</v>
      </c>
    </row>
    <row r="121" spans="1:12" ht="43.5" x14ac:dyDescent="0.35">
      <c r="A121" s="5" t="s">
        <v>8</v>
      </c>
      <c r="B121" s="5" t="s">
        <v>16</v>
      </c>
      <c r="C121" s="5" t="s">
        <v>75</v>
      </c>
      <c r="D121" s="5" t="s">
        <v>35</v>
      </c>
      <c r="E121" s="5" t="s">
        <v>37</v>
      </c>
      <c r="F121" s="5" t="s">
        <v>45</v>
      </c>
      <c r="G121" s="5" t="s">
        <v>52</v>
      </c>
      <c r="H121" s="5" t="s">
        <v>76</v>
      </c>
      <c r="I121" s="5" t="s">
        <v>63</v>
      </c>
      <c r="J121" s="5">
        <v>16.958426582622</v>
      </c>
      <c r="K121" s="5">
        <v>-96.898708618097004</v>
      </c>
      <c r="L121" s="5" t="str">
        <f>HYPERLINK("https://maps.google.com/?q=16.958426582622,-96.898708618096805", "🔗 Ver Mapa")</f>
        <v>🔗 Ver Mapa</v>
      </c>
    </row>
    <row r="122" spans="1:12" ht="43.5" x14ac:dyDescent="0.35">
      <c r="A122" s="6" t="s">
        <v>8</v>
      </c>
      <c r="B122" s="6" t="s">
        <v>16</v>
      </c>
      <c r="C122" s="6" t="s">
        <v>75</v>
      </c>
      <c r="D122" s="6" t="s">
        <v>35</v>
      </c>
      <c r="E122" s="6" t="s">
        <v>37</v>
      </c>
      <c r="F122" s="6" t="s">
        <v>45</v>
      </c>
      <c r="G122" s="6" t="s">
        <v>52</v>
      </c>
      <c r="H122" s="6" t="s">
        <v>76</v>
      </c>
      <c r="I122" s="6" t="s">
        <v>63</v>
      </c>
      <c r="J122" s="6">
        <v>16.958511492420001</v>
      </c>
      <c r="K122" s="6">
        <v>-96.899247399388003</v>
      </c>
      <c r="L122" s="6" t="str">
        <f>HYPERLINK("https://maps.google.com/?q=16.9585114924199,-96.899247399388301", "🔗 Ver Mapa")</f>
        <v>🔗 Ver Mapa</v>
      </c>
    </row>
    <row r="123" spans="1:12" ht="43.5" x14ac:dyDescent="0.35">
      <c r="A123" s="5" t="s">
        <v>8</v>
      </c>
      <c r="B123" s="5" t="s">
        <v>16</v>
      </c>
      <c r="C123" s="5" t="s">
        <v>75</v>
      </c>
      <c r="D123" s="5" t="s">
        <v>35</v>
      </c>
      <c r="E123" s="5" t="s">
        <v>37</v>
      </c>
      <c r="F123" s="5" t="s">
        <v>45</v>
      </c>
      <c r="G123" s="5" t="s">
        <v>52</v>
      </c>
      <c r="H123" s="5" t="s">
        <v>76</v>
      </c>
      <c r="I123" s="5" t="s">
        <v>63</v>
      </c>
      <c r="J123" s="5">
        <v>16.958877469964001</v>
      </c>
      <c r="K123" s="5">
        <v>-96.897913629464995</v>
      </c>
      <c r="L123" s="5" t="str">
        <f>HYPERLINK("https://maps.google.com/?q=16.9588774699641,-96.897913629465094", "🔗 Ver Mapa")</f>
        <v>🔗 Ver Mapa</v>
      </c>
    </row>
    <row r="124" spans="1:12" ht="43.5" x14ac:dyDescent="0.35">
      <c r="A124" s="6" t="s">
        <v>8</v>
      </c>
      <c r="B124" s="6" t="s">
        <v>16</v>
      </c>
      <c r="C124" s="6" t="s">
        <v>77</v>
      </c>
      <c r="D124" s="6" t="s">
        <v>35</v>
      </c>
      <c r="E124" s="6" t="s">
        <v>37</v>
      </c>
      <c r="F124" s="6" t="s">
        <v>78</v>
      </c>
      <c r="G124" s="6" t="s">
        <v>79</v>
      </c>
      <c r="H124" s="6" t="s">
        <v>80</v>
      </c>
      <c r="I124" s="6" t="s">
        <v>63</v>
      </c>
      <c r="J124" s="6">
        <v>16.775698529989999</v>
      </c>
      <c r="K124" s="6">
        <v>-96.584257586473996</v>
      </c>
      <c r="L124" s="6" t="str">
        <f>HYPERLINK("https://maps.google.com/?q=16.7756985299902,-96.584257586473598", "🔗 Ver Mapa")</f>
        <v>🔗 Ver Mapa</v>
      </c>
    </row>
    <row r="125" spans="1:12" ht="43.5" x14ac:dyDescent="0.35">
      <c r="A125" s="5" t="s">
        <v>8</v>
      </c>
      <c r="B125" s="5" t="s">
        <v>16</v>
      </c>
      <c r="C125" s="5" t="s">
        <v>77</v>
      </c>
      <c r="D125" s="5" t="s">
        <v>35</v>
      </c>
      <c r="E125" s="5" t="s">
        <v>37</v>
      </c>
      <c r="F125" s="5" t="s">
        <v>78</v>
      </c>
      <c r="G125" s="5" t="s">
        <v>79</v>
      </c>
      <c r="H125" s="5" t="s">
        <v>80</v>
      </c>
      <c r="I125" s="5" t="s">
        <v>63</v>
      </c>
      <c r="J125" s="5">
        <v>16.777297117756</v>
      </c>
      <c r="K125" s="5">
        <v>-96.583322675955998</v>
      </c>
      <c r="L125" s="5" t="str">
        <f>HYPERLINK("https://maps.google.com/?q=16.7772971177563,-96.583322675955799", "🔗 Ver Mapa")</f>
        <v>🔗 Ver Mapa</v>
      </c>
    </row>
    <row r="126" spans="1:12" ht="43.5" x14ac:dyDescent="0.35">
      <c r="A126" s="6" t="s">
        <v>8</v>
      </c>
      <c r="B126" s="6" t="s">
        <v>16</v>
      </c>
      <c r="C126" s="6" t="s">
        <v>77</v>
      </c>
      <c r="D126" s="6" t="s">
        <v>35</v>
      </c>
      <c r="E126" s="6" t="s">
        <v>37</v>
      </c>
      <c r="F126" s="6" t="s">
        <v>78</v>
      </c>
      <c r="G126" s="6" t="s">
        <v>79</v>
      </c>
      <c r="H126" s="6" t="s">
        <v>80</v>
      </c>
      <c r="I126" s="6" t="s">
        <v>63</v>
      </c>
      <c r="J126" s="6">
        <v>16.777860179619999</v>
      </c>
      <c r="K126" s="6">
        <v>-96.584724290842004</v>
      </c>
      <c r="L126" s="6" t="str">
        <f>HYPERLINK("https://maps.google.com/?q=16.7778601796203,-96.584724290841706", "🔗 Ver Mapa")</f>
        <v>🔗 Ver Mapa</v>
      </c>
    </row>
    <row r="127" spans="1:12" ht="43.5" x14ac:dyDescent="0.35">
      <c r="A127" s="5" t="s">
        <v>8</v>
      </c>
      <c r="B127" s="5" t="s">
        <v>16</v>
      </c>
      <c r="C127" s="5" t="s">
        <v>77</v>
      </c>
      <c r="D127" s="5" t="s">
        <v>35</v>
      </c>
      <c r="E127" s="5" t="s">
        <v>37</v>
      </c>
      <c r="F127" s="5" t="s">
        <v>78</v>
      </c>
      <c r="G127" s="5" t="s">
        <v>79</v>
      </c>
      <c r="H127" s="5" t="s">
        <v>80</v>
      </c>
      <c r="I127" s="5" t="s">
        <v>63</v>
      </c>
      <c r="J127" s="5">
        <v>16.777989233899</v>
      </c>
      <c r="K127" s="5">
        <v>-96.575627078539</v>
      </c>
      <c r="L127" s="5" t="str">
        <f>HYPERLINK("https://maps.google.com/?q=16.7779892338988,-96.575627078539", "🔗 Ver Mapa")</f>
        <v>🔗 Ver Mapa</v>
      </c>
    </row>
    <row r="128" spans="1:12" ht="43.5" x14ac:dyDescent="0.35">
      <c r="A128" s="6" t="s">
        <v>8</v>
      </c>
      <c r="B128" s="6" t="s">
        <v>16</v>
      </c>
      <c r="C128" s="6" t="s">
        <v>77</v>
      </c>
      <c r="D128" s="6" t="s">
        <v>35</v>
      </c>
      <c r="E128" s="6" t="s">
        <v>37</v>
      </c>
      <c r="F128" s="6" t="s">
        <v>78</v>
      </c>
      <c r="G128" s="6" t="s">
        <v>79</v>
      </c>
      <c r="H128" s="6" t="s">
        <v>80</v>
      </c>
      <c r="I128" s="6" t="s">
        <v>63</v>
      </c>
      <c r="J128" s="6">
        <v>16.778229884843</v>
      </c>
      <c r="K128" s="6">
        <v>-96.575925512935001</v>
      </c>
      <c r="L128" s="6" t="str">
        <f>HYPERLINK("https://maps.google.com/?q=16.7782298848427,-96.575925512934504", "🔗 Ver Mapa")</f>
        <v>🔗 Ver Mapa</v>
      </c>
    </row>
    <row r="129" spans="1:12" ht="43.5" x14ac:dyDescent="0.35">
      <c r="A129" s="5" t="s">
        <v>8</v>
      </c>
      <c r="B129" s="5" t="s">
        <v>16</v>
      </c>
      <c r="C129" s="5" t="s">
        <v>77</v>
      </c>
      <c r="D129" s="5" t="s">
        <v>35</v>
      </c>
      <c r="E129" s="5" t="s">
        <v>37</v>
      </c>
      <c r="F129" s="5" t="s">
        <v>78</v>
      </c>
      <c r="G129" s="5" t="s">
        <v>79</v>
      </c>
      <c r="H129" s="5" t="s">
        <v>80</v>
      </c>
      <c r="I129" s="5" t="s">
        <v>63</v>
      </c>
      <c r="J129" s="5">
        <v>16.778249461436001</v>
      </c>
      <c r="K129" s="5">
        <v>-96.576501259322995</v>
      </c>
      <c r="L129" s="5" t="str">
        <f>HYPERLINK("https://maps.google.com/?q=16.7782494614357,-96.576501259322598", "🔗 Ver Mapa")</f>
        <v>🔗 Ver Mapa</v>
      </c>
    </row>
    <row r="130" spans="1:12" ht="43.5" x14ac:dyDescent="0.35">
      <c r="A130" s="6" t="s">
        <v>8</v>
      </c>
      <c r="B130" s="6" t="s">
        <v>16</v>
      </c>
      <c r="C130" s="6" t="s">
        <v>77</v>
      </c>
      <c r="D130" s="6" t="s">
        <v>35</v>
      </c>
      <c r="E130" s="6" t="s">
        <v>37</v>
      </c>
      <c r="F130" s="6" t="s">
        <v>78</v>
      </c>
      <c r="G130" s="6" t="s">
        <v>79</v>
      </c>
      <c r="H130" s="6" t="s">
        <v>80</v>
      </c>
      <c r="I130" s="6" t="s">
        <v>63</v>
      </c>
      <c r="J130" s="6">
        <v>16.778277074222999</v>
      </c>
      <c r="K130" s="6">
        <v>-96.583038253702995</v>
      </c>
      <c r="L130" s="6" t="str">
        <f>HYPERLINK("https://maps.google.com/?q=16.7782770742235,-96.583038253703094", "🔗 Ver Mapa")</f>
        <v>🔗 Ver Mapa</v>
      </c>
    </row>
    <row r="131" spans="1:12" ht="43.5" x14ac:dyDescent="0.35">
      <c r="A131" s="5" t="s">
        <v>8</v>
      </c>
      <c r="B131" s="5" t="s">
        <v>16</v>
      </c>
      <c r="C131" s="5" t="s">
        <v>77</v>
      </c>
      <c r="D131" s="5" t="s">
        <v>35</v>
      </c>
      <c r="E131" s="5" t="s">
        <v>37</v>
      </c>
      <c r="F131" s="5" t="s">
        <v>78</v>
      </c>
      <c r="G131" s="5" t="s">
        <v>79</v>
      </c>
      <c r="H131" s="5" t="s">
        <v>80</v>
      </c>
      <c r="I131" s="5" t="s">
        <v>63</v>
      </c>
      <c r="J131" s="5">
        <v>16.778924195553</v>
      </c>
      <c r="K131" s="5">
        <v>-96.577531946826994</v>
      </c>
      <c r="L131" s="5" t="str">
        <f>HYPERLINK("https://maps.google.com/?q=16.7789241955533,-96.577531946827094", "🔗 Ver Mapa")</f>
        <v>🔗 Ver Mapa</v>
      </c>
    </row>
    <row r="132" spans="1:12" ht="43.5" x14ac:dyDescent="0.35">
      <c r="A132" s="6" t="s">
        <v>8</v>
      </c>
      <c r="B132" s="6" t="s">
        <v>16</v>
      </c>
      <c r="C132" s="6" t="s">
        <v>77</v>
      </c>
      <c r="D132" s="6" t="s">
        <v>35</v>
      </c>
      <c r="E132" s="6" t="s">
        <v>37</v>
      </c>
      <c r="F132" s="6" t="s">
        <v>78</v>
      </c>
      <c r="G132" s="6" t="s">
        <v>79</v>
      </c>
      <c r="H132" s="6" t="s">
        <v>80</v>
      </c>
      <c r="I132" s="6" t="s">
        <v>63</v>
      </c>
      <c r="J132" s="6">
        <v>16.778954432801999</v>
      </c>
      <c r="K132" s="6">
        <v>-96.584501327633006</v>
      </c>
      <c r="L132" s="6" t="str">
        <f>HYPERLINK("https://maps.google.com/?q=16.7789544328024,-96.584501327633106", "🔗 Ver Mapa")</f>
        <v>🔗 Ver Mapa</v>
      </c>
    </row>
    <row r="133" spans="1:12" ht="43.5" x14ac:dyDescent="0.35">
      <c r="A133" s="5" t="s">
        <v>8</v>
      </c>
      <c r="B133" s="5" t="s">
        <v>16</v>
      </c>
      <c r="C133" s="5" t="s">
        <v>77</v>
      </c>
      <c r="D133" s="5" t="s">
        <v>35</v>
      </c>
      <c r="E133" s="5" t="s">
        <v>37</v>
      </c>
      <c r="F133" s="5" t="s">
        <v>78</v>
      </c>
      <c r="G133" s="5" t="s">
        <v>79</v>
      </c>
      <c r="H133" s="5" t="s">
        <v>80</v>
      </c>
      <c r="I133" s="5" t="s">
        <v>63</v>
      </c>
      <c r="J133" s="5">
        <v>16.779128730536002</v>
      </c>
      <c r="K133" s="5">
        <v>-96.584904103897003</v>
      </c>
      <c r="L133" s="5" t="str">
        <f>HYPERLINK("https://maps.google.com/?q=16.7791287305361,-96.584904103896505", "🔗 Ver Mapa")</f>
        <v>🔗 Ver Mapa</v>
      </c>
    </row>
    <row r="134" spans="1:12" ht="43.5" x14ac:dyDescent="0.35">
      <c r="A134" s="6" t="s">
        <v>8</v>
      </c>
      <c r="B134" s="6" t="s">
        <v>16</v>
      </c>
      <c r="C134" s="6" t="s">
        <v>77</v>
      </c>
      <c r="D134" s="6" t="s">
        <v>35</v>
      </c>
      <c r="E134" s="6" t="s">
        <v>37</v>
      </c>
      <c r="F134" s="6" t="s">
        <v>78</v>
      </c>
      <c r="G134" s="6" t="s">
        <v>79</v>
      </c>
      <c r="H134" s="6" t="s">
        <v>80</v>
      </c>
      <c r="I134" s="6" t="s">
        <v>63</v>
      </c>
      <c r="J134" s="6">
        <v>16.779660657762999</v>
      </c>
      <c r="K134" s="6">
        <v>-96.581591298065007</v>
      </c>
      <c r="L134" s="6" t="str">
        <f>HYPERLINK("https://maps.google.com/?q=16.7796606577629,-96.581591298064794", "🔗 Ver Mapa")</f>
        <v>🔗 Ver Mapa</v>
      </c>
    </row>
    <row r="135" spans="1:12" ht="43.5" x14ac:dyDescent="0.35">
      <c r="A135" s="5" t="s">
        <v>8</v>
      </c>
      <c r="B135" s="5" t="s">
        <v>16</v>
      </c>
      <c r="C135" s="5" t="s">
        <v>77</v>
      </c>
      <c r="D135" s="5" t="s">
        <v>35</v>
      </c>
      <c r="E135" s="5" t="s">
        <v>37</v>
      </c>
      <c r="F135" s="5" t="s">
        <v>78</v>
      </c>
      <c r="G135" s="5" t="s">
        <v>79</v>
      </c>
      <c r="H135" s="5" t="s">
        <v>80</v>
      </c>
      <c r="I135" s="5" t="s">
        <v>63</v>
      </c>
      <c r="J135" s="5">
        <v>16.779683243744</v>
      </c>
      <c r="K135" s="5">
        <v>-96.583368593078006</v>
      </c>
      <c r="L135" s="5" t="str">
        <f>HYPERLINK("https://maps.google.com/?q=16.7796832437444,-96.583368593077594", "🔗 Ver Mapa")</f>
        <v>🔗 Ver Mapa</v>
      </c>
    </row>
    <row r="136" spans="1:12" ht="43.5" x14ac:dyDescent="0.35">
      <c r="A136" s="6" t="s">
        <v>8</v>
      </c>
      <c r="B136" s="6" t="s">
        <v>16</v>
      </c>
      <c r="C136" s="6" t="s">
        <v>77</v>
      </c>
      <c r="D136" s="6" t="s">
        <v>35</v>
      </c>
      <c r="E136" s="6" t="s">
        <v>37</v>
      </c>
      <c r="F136" s="6" t="s">
        <v>78</v>
      </c>
      <c r="G136" s="6" t="s">
        <v>79</v>
      </c>
      <c r="H136" s="6" t="s">
        <v>80</v>
      </c>
      <c r="I136" s="6" t="s">
        <v>63</v>
      </c>
      <c r="J136" s="6">
        <v>16.779861531333001</v>
      </c>
      <c r="K136" s="6">
        <v>-96.583565019462</v>
      </c>
      <c r="L136" s="6" t="str">
        <f>HYPERLINK("https://maps.google.com/?q=16.7798615313326,-96.583565019462", "🔗 Ver Mapa")</f>
        <v>🔗 Ver Mapa</v>
      </c>
    </row>
    <row r="137" spans="1:12" ht="43.5" x14ac:dyDescent="0.35">
      <c r="A137" s="5" t="s">
        <v>8</v>
      </c>
      <c r="B137" s="5" t="s">
        <v>16</v>
      </c>
      <c r="C137" s="5" t="s">
        <v>77</v>
      </c>
      <c r="D137" s="5" t="s">
        <v>35</v>
      </c>
      <c r="E137" s="5" t="s">
        <v>37</v>
      </c>
      <c r="F137" s="5" t="s">
        <v>78</v>
      </c>
      <c r="G137" s="5" t="s">
        <v>79</v>
      </c>
      <c r="H137" s="5" t="s">
        <v>80</v>
      </c>
      <c r="I137" s="5" t="s">
        <v>63</v>
      </c>
      <c r="J137" s="5">
        <v>16.77999806299</v>
      </c>
      <c r="K137" s="5">
        <v>-96.573112326388994</v>
      </c>
      <c r="L137" s="5" t="str">
        <f>HYPERLINK("https://maps.google.com/?q=16.7799980629897,-96.573112326389307", "🔗 Ver Mapa")</f>
        <v>🔗 Ver Mapa</v>
      </c>
    </row>
    <row r="138" spans="1:12" ht="43.5" x14ac:dyDescent="0.35">
      <c r="A138" s="6" t="s">
        <v>8</v>
      </c>
      <c r="B138" s="6" t="s">
        <v>16</v>
      </c>
      <c r="C138" s="6" t="s">
        <v>77</v>
      </c>
      <c r="D138" s="6" t="s">
        <v>35</v>
      </c>
      <c r="E138" s="6" t="s">
        <v>37</v>
      </c>
      <c r="F138" s="6" t="s">
        <v>78</v>
      </c>
      <c r="G138" s="6" t="s">
        <v>79</v>
      </c>
      <c r="H138" s="6" t="s">
        <v>80</v>
      </c>
      <c r="I138" s="6" t="s">
        <v>63</v>
      </c>
      <c r="J138" s="6">
        <v>16.780038522649001</v>
      </c>
      <c r="K138" s="6">
        <v>-96.582904063824003</v>
      </c>
      <c r="L138" s="6" t="str">
        <f>HYPERLINK("https://maps.google.com/?q=16.7800385226491,-96.582904063823804", "🔗 Ver Mapa")</f>
        <v>🔗 Ver Mapa</v>
      </c>
    </row>
    <row r="139" spans="1:12" ht="43.5" x14ac:dyDescent="0.35">
      <c r="A139" s="5" t="s">
        <v>8</v>
      </c>
      <c r="B139" s="5" t="s">
        <v>16</v>
      </c>
      <c r="C139" s="5" t="s">
        <v>77</v>
      </c>
      <c r="D139" s="5" t="s">
        <v>35</v>
      </c>
      <c r="E139" s="5" t="s">
        <v>37</v>
      </c>
      <c r="F139" s="5" t="s">
        <v>78</v>
      </c>
      <c r="G139" s="5" t="s">
        <v>79</v>
      </c>
      <c r="H139" s="5" t="s">
        <v>80</v>
      </c>
      <c r="I139" s="5" t="s">
        <v>63</v>
      </c>
      <c r="J139" s="5">
        <v>16.780039274635001</v>
      </c>
      <c r="K139" s="5">
        <v>-96.583259425760005</v>
      </c>
      <c r="L139" s="5" t="str">
        <f>HYPERLINK("https://maps.google.com/?q=16.7800392746353,-96.583259425760303", "🔗 Ver Mapa")</f>
        <v>🔗 Ver Mapa</v>
      </c>
    </row>
    <row r="140" spans="1:12" ht="43.5" x14ac:dyDescent="0.35">
      <c r="A140" s="6" t="s">
        <v>8</v>
      </c>
      <c r="B140" s="6" t="s">
        <v>16</v>
      </c>
      <c r="C140" s="6" t="s">
        <v>77</v>
      </c>
      <c r="D140" s="6" t="s">
        <v>35</v>
      </c>
      <c r="E140" s="6" t="s">
        <v>37</v>
      </c>
      <c r="F140" s="6" t="s">
        <v>78</v>
      </c>
      <c r="G140" s="6" t="s">
        <v>79</v>
      </c>
      <c r="H140" s="6" t="s">
        <v>80</v>
      </c>
      <c r="I140" s="6" t="s">
        <v>63</v>
      </c>
      <c r="J140" s="6">
        <v>16.780182986692999</v>
      </c>
      <c r="K140" s="6">
        <v>-96.581445326389996</v>
      </c>
      <c r="L140" s="6" t="str">
        <f>HYPERLINK("https://maps.google.com/?q=16.7801829866934,-96.581445326389598", "🔗 Ver Mapa")</f>
        <v>🔗 Ver Mapa</v>
      </c>
    </row>
    <row r="141" spans="1:12" ht="43.5" x14ac:dyDescent="0.35">
      <c r="A141" s="5" t="s">
        <v>8</v>
      </c>
      <c r="B141" s="5" t="s">
        <v>16</v>
      </c>
      <c r="C141" s="5" t="s">
        <v>77</v>
      </c>
      <c r="D141" s="5" t="s">
        <v>35</v>
      </c>
      <c r="E141" s="5" t="s">
        <v>37</v>
      </c>
      <c r="F141" s="5" t="s">
        <v>78</v>
      </c>
      <c r="G141" s="5" t="s">
        <v>79</v>
      </c>
      <c r="H141" s="5" t="s">
        <v>80</v>
      </c>
      <c r="I141" s="5" t="s">
        <v>63</v>
      </c>
      <c r="J141" s="5">
        <v>16.780234554263998</v>
      </c>
      <c r="K141" s="5">
        <v>-96.581667216829999</v>
      </c>
      <c r="L141" s="5" t="str">
        <f>HYPERLINK("https://maps.google.com/?q=16.7802345542635,-96.581667216829999", "🔗 Ver Mapa")</f>
        <v>🔗 Ver Mapa</v>
      </c>
    </row>
    <row r="142" spans="1:12" ht="43.5" x14ac:dyDescent="0.35">
      <c r="A142" s="6" t="s">
        <v>8</v>
      </c>
      <c r="B142" s="6" t="s">
        <v>16</v>
      </c>
      <c r="C142" s="6" t="s">
        <v>77</v>
      </c>
      <c r="D142" s="6" t="s">
        <v>35</v>
      </c>
      <c r="E142" s="6" t="s">
        <v>37</v>
      </c>
      <c r="F142" s="6" t="s">
        <v>78</v>
      </c>
      <c r="G142" s="6" t="s">
        <v>79</v>
      </c>
      <c r="H142" s="6" t="s">
        <v>80</v>
      </c>
      <c r="I142" s="6" t="s">
        <v>63</v>
      </c>
      <c r="J142" s="6">
        <v>16.780290790693002</v>
      </c>
      <c r="K142" s="6">
        <v>-96.583727588955</v>
      </c>
      <c r="L142" s="6" t="str">
        <f>HYPERLINK("https://maps.google.com/?q=16.780290790693,-96.583727588955", "🔗 Ver Mapa")</f>
        <v>🔗 Ver Mapa</v>
      </c>
    </row>
    <row r="143" spans="1:12" ht="43.5" x14ac:dyDescent="0.35">
      <c r="A143" s="5" t="s">
        <v>8</v>
      </c>
      <c r="B143" s="5" t="s">
        <v>16</v>
      </c>
      <c r="C143" s="5" t="s">
        <v>77</v>
      </c>
      <c r="D143" s="5" t="s">
        <v>35</v>
      </c>
      <c r="E143" s="5" t="s">
        <v>37</v>
      </c>
      <c r="F143" s="5" t="s">
        <v>78</v>
      </c>
      <c r="G143" s="5" t="s">
        <v>79</v>
      </c>
      <c r="H143" s="5" t="s">
        <v>80</v>
      </c>
      <c r="I143" s="5" t="s">
        <v>63</v>
      </c>
      <c r="J143" s="5">
        <v>16.780392664272998</v>
      </c>
      <c r="K143" s="5">
        <v>-96.577402703776002</v>
      </c>
      <c r="L143" s="5" t="str">
        <f>HYPERLINK("https://maps.google.com/?q=16.7803926642728,-96.577402703775704", "🔗 Ver Mapa")</f>
        <v>🔗 Ver Mapa</v>
      </c>
    </row>
    <row r="144" spans="1:12" ht="43.5" x14ac:dyDescent="0.35">
      <c r="A144" s="6" t="s">
        <v>8</v>
      </c>
      <c r="B144" s="6" t="s">
        <v>16</v>
      </c>
      <c r="C144" s="6" t="s">
        <v>77</v>
      </c>
      <c r="D144" s="6" t="s">
        <v>35</v>
      </c>
      <c r="E144" s="6" t="s">
        <v>37</v>
      </c>
      <c r="F144" s="6" t="s">
        <v>78</v>
      </c>
      <c r="G144" s="6" t="s">
        <v>79</v>
      </c>
      <c r="H144" s="6" t="s">
        <v>80</v>
      </c>
      <c r="I144" s="6" t="s">
        <v>63</v>
      </c>
      <c r="J144" s="6">
        <v>16.780510030468001</v>
      </c>
      <c r="K144" s="6">
        <v>-96.582817658896005</v>
      </c>
      <c r="L144" s="6" t="str">
        <f>HYPERLINK("https://maps.google.com/?q=16.7805100304683,-96.582817658895607", "🔗 Ver Mapa")</f>
        <v>🔗 Ver Mapa</v>
      </c>
    </row>
    <row r="145" spans="1:12" ht="43.5" x14ac:dyDescent="0.35">
      <c r="A145" s="5" t="s">
        <v>8</v>
      </c>
      <c r="B145" s="5" t="s">
        <v>16</v>
      </c>
      <c r="C145" s="5" t="s">
        <v>77</v>
      </c>
      <c r="D145" s="5" t="s">
        <v>35</v>
      </c>
      <c r="E145" s="5" t="s">
        <v>37</v>
      </c>
      <c r="F145" s="5" t="s">
        <v>78</v>
      </c>
      <c r="G145" s="5" t="s">
        <v>79</v>
      </c>
      <c r="H145" s="5" t="s">
        <v>80</v>
      </c>
      <c r="I145" s="5" t="s">
        <v>63</v>
      </c>
      <c r="J145" s="5">
        <v>16.780524358754999</v>
      </c>
      <c r="K145" s="5">
        <v>-96.578685550925996</v>
      </c>
      <c r="L145" s="5" t="str">
        <f>HYPERLINK("https://maps.google.com/?q=16.7805243587546,-96.578685550926195", "🔗 Ver Mapa")</f>
        <v>🔗 Ver Mapa</v>
      </c>
    </row>
    <row r="146" spans="1:12" ht="43.5" x14ac:dyDescent="0.35">
      <c r="A146" s="6" t="s">
        <v>8</v>
      </c>
      <c r="B146" s="6" t="s">
        <v>16</v>
      </c>
      <c r="C146" s="6" t="s">
        <v>77</v>
      </c>
      <c r="D146" s="6" t="s">
        <v>35</v>
      </c>
      <c r="E146" s="6" t="s">
        <v>37</v>
      </c>
      <c r="F146" s="6" t="s">
        <v>78</v>
      </c>
      <c r="G146" s="6" t="s">
        <v>79</v>
      </c>
      <c r="H146" s="6" t="s">
        <v>80</v>
      </c>
      <c r="I146" s="6" t="s">
        <v>63</v>
      </c>
      <c r="J146" s="6">
        <v>16.780588389818</v>
      </c>
      <c r="K146" s="6">
        <v>-96.582694251437005</v>
      </c>
      <c r="L146" s="6" t="str">
        <f>HYPERLINK("https://maps.google.com/?q=16.7805883898177,-96.582694251437402", "🔗 Ver Mapa")</f>
        <v>🔗 Ver Mapa</v>
      </c>
    </row>
    <row r="147" spans="1:12" ht="43.5" x14ac:dyDescent="0.35">
      <c r="A147" s="5" t="s">
        <v>8</v>
      </c>
      <c r="B147" s="5" t="s">
        <v>16</v>
      </c>
      <c r="C147" s="5" t="s">
        <v>77</v>
      </c>
      <c r="D147" s="5" t="s">
        <v>35</v>
      </c>
      <c r="E147" s="5" t="s">
        <v>37</v>
      </c>
      <c r="F147" s="5" t="s">
        <v>78</v>
      </c>
      <c r="G147" s="5" t="s">
        <v>79</v>
      </c>
      <c r="H147" s="5" t="s">
        <v>80</v>
      </c>
      <c r="I147" s="5" t="s">
        <v>63</v>
      </c>
      <c r="J147" s="5">
        <v>16.780591878167002</v>
      </c>
      <c r="K147" s="5">
        <v>-96.578779679760999</v>
      </c>
      <c r="L147" s="5" t="str">
        <f>HYPERLINK("https://maps.google.com/?q=16.7805918781669,-96.578779679761496", "🔗 Ver Mapa")</f>
        <v>🔗 Ver Mapa</v>
      </c>
    </row>
    <row r="148" spans="1:12" ht="43.5" x14ac:dyDescent="0.35">
      <c r="A148" s="6" t="s">
        <v>8</v>
      </c>
      <c r="B148" s="6" t="s">
        <v>16</v>
      </c>
      <c r="C148" s="6" t="s">
        <v>77</v>
      </c>
      <c r="D148" s="6" t="s">
        <v>35</v>
      </c>
      <c r="E148" s="6" t="s">
        <v>37</v>
      </c>
      <c r="F148" s="6" t="s">
        <v>78</v>
      </c>
      <c r="G148" s="6" t="s">
        <v>79</v>
      </c>
      <c r="H148" s="6" t="s">
        <v>80</v>
      </c>
      <c r="I148" s="6" t="s">
        <v>63</v>
      </c>
      <c r="J148" s="6">
        <v>16.780670771551002</v>
      </c>
      <c r="K148" s="6">
        <v>-96.582805634853997</v>
      </c>
      <c r="L148" s="6" t="str">
        <f>HYPERLINK("https://maps.google.com/?q=16.7806707715514,-96.582805634853599", "🔗 Ver Mapa")</f>
        <v>🔗 Ver Mapa</v>
      </c>
    </row>
    <row r="149" spans="1:12" ht="43.5" x14ac:dyDescent="0.35">
      <c r="A149" s="5" t="s">
        <v>8</v>
      </c>
      <c r="B149" s="5" t="s">
        <v>16</v>
      </c>
      <c r="C149" s="5" t="s">
        <v>77</v>
      </c>
      <c r="D149" s="5" t="s">
        <v>35</v>
      </c>
      <c r="E149" s="5" t="s">
        <v>37</v>
      </c>
      <c r="F149" s="5" t="s">
        <v>78</v>
      </c>
      <c r="G149" s="5" t="s">
        <v>79</v>
      </c>
      <c r="H149" s="5" t="s">
        <v>80</v>
      </c>
      <c r="I149" s="5" t="s">
        <v>63</v>
      </c>
      <c r="J149" s="5">
        <v>16.780751002632002</v>
      </c>
      <c r="K149" s="5">
        <v>-96.580223822090005</v>
      </c>
      <c r="L149" s="5" t="str">
        <f>HYPERLINK("https://maps.google.com/?q=16.7807510026316,-96.580223822090204", "🔗 Ver Mapa")</f>
        <v>🔗 Ver Mapa</v>
      </c>
    </row>
    <row r="150" spans="1:12" ht="43.5" x14ac:dyDescent="0.35">
      <c r="A150" s="6" t="s">
        <v>8</v>
      </c>
      <c r="B150" s="6" t="s">
        <v>16</v>
      </c>
      <c r="C150" s="6" t="s">
        <v>77</v>
      </c>
      <c r="D150" s="6" t="s">
        <v>35</v>
      </c>
      <c r="E150" s="6" t="s">
        <v>37</v>
      </c>
      <c r="F150" s="6" t="s">
        <v>78</v>
      </c>
      <c r="G150" s="6" t="s">
        <v>79</v>
      </c>
      <c r="H150" s="6" t="s">
        <v>80</v>
      </c>
      <c r="I150" s="6" t="s">
        <v>63</v>
      </c>
      <c r="J150" s="6">
        <v>16.780759606717002</v>
      </c>
      <c r="K150" s="6">
        <v>-96.578730860118995</v>
      </c>
      <c r="L150" s="6" t="str">
        <f>HYPERLINK("https://maps.google.com/?q=16.7807596067169,-96.578730860118895", "🔗 Ver Mapa")</f>
        <v>🔗 Ver Mapa</v>
      </c>
    </row>
    <row r="151" spans="1:12" ht="43.5" x14ac:dyDescent="0.35">
      <c r="A151" s="5" t="s">
        <v>8</v>
      </c>
      <c r="B151" s="5" t="s">
        <v>16</v>
      </c>
      <c r="C151" s="5" t="s">
        <v>77</v>
      </c>
      <c r="D151" s="5" t="s">
        <v>35</v>
      </c>
      <c r="E151" s="5" t="s">
        <v>37</v>
      </c>
      <c r="F151" s="5" t="s">
        <v>78</v>
      </c>
      <c r="G151" s="5" t="s">
        <v>79</v>
      </c>
      <c r="H151" s="5" t="s">
        <v>80</v>
      </c>
      <c r="I151" s="5" t="s">
        <v>63</v>
      </c>
      <c r="J151" s="5">
        <v>16.780811771086</v>
      </c>
      <c r="K151" s="5">
        <v>-96.581299078604005</v>
      </c>
      <c r="L151" s="5" t="str">
        <f>HYPERLINK("https://maps.google.com/?q=16.780811771086,-96.581299078604204", "🔗 Ver Mapa")</f>
        <v>🔗 Ver Mapa</v>
      </c>
    </row>
    <row r="152" spans="1:12" ht="43.5" x14ac:dyDescent="0.35">
      <c r="A152" s="6" t="s">
        <v>8</v>
      </c>
      <c r="B152" s="6" t="s">
        <v>16</v>
      </c>
      <c r="C152" s="6" t="s">
        <v>77</v>
      </c>
      <c r="D152" s="6" t="s">
        <v>35</v>
      </c>
      <c r="E152" s="6" t="s">
        <v>37</v>
      </c>
      <c r="F152" s="6" t="s">
        <v>78</v>
      </c>
      <c r="G152" s="6" t="s">
        <v>79</v>
      </c>
      <c r="H152" s="6" t="s">
        <v>80</v>
      </c>
      <c r="I152" s="6" t="s">
        <v>63</v>
      </c>
      <c r="J152" s="6">
        <v>16.780825827766002</v>
      </c>
      <c r="K152" s="6">
        <v>-96.586540835639994</v>
      </c>
      <c r="L152" s="6" t="str">
        <f>HYPERLINK("https://maps.google.com/?q=16.780825827766,-96.586540835640207", "🔗 Ver Mapa")</f>
        <v>🔗 Ver Mapa</v>
      </c>
    </row>
    <row r="153" spans="1:12" ht="43.5" x14ac:dyDescent="0.35">
      <c r="A153" s="5" t="s">
        <v>8</v>
      </c>
      <c r="B153" s="5" t="s">
        <v>16</v>
      </c>
      <c r="C153" s="5" t="s">
        <v>77</v>
      </c>
      <c r="D153" s="5" t="s">
        <v>35</v>
      </c>
      <c r="E153" s="5" t="s">
        <v>37</v>
      </c>
      <c r="F153" s="5" t="s">
        <v>78</v>
      </c>
      <c r="G153" s="5" t="s">
        <v>79</v>
      </c>
      <c r="H153" s="5" t="s">
        <v>80</v>
      </c>
      <c r="I153" s="5" t="s">
        <v>63</v>
      </c>
      <c r="J153" s="5">
        <v>16.780846054929999</v>
      </c>
      <c r="K153" s="5">
        <v>-96.579363533730003</v>
      </c>
      <c r="L153" s="5" t="str">
        <f>HYPERLINK("https://maps.google.com/?q=16.7808460549304,-96.579363533729605", "🔗 Ver Mapa")</f>
        <v>🔗 Ver Mapa</v>
      </c>
    </row>
    <row r="154" spans="1:12" ht="43.5" x14ac:dyDescent="0.35">
      <c r="A154" s="6" t="s">
        <v>8</v>
      </c>
      <c r="B154" s="6" t="s">
        <v>16</v>
      </c>
      <c r="C154" s="6" t="s">
        <v>77</v>
      </c>
      <c r="D154" s="6" t="s">
        <v>35</v>
      </c>
      <c r="E154" s="6" t="s">
        <v>37</v>
      </c>
      <c r="F154" s="6" t="s">
        <v>78</v>
      </c>
      <c r="G154" s="6" t="s">
        <v>79</v>
      </c>
      <c r="H154" s="6" t="s">
        <v>80</v>
      </c>
      <c r="I154" s="6" t="s">
        <v>63</v>
      </c>
      <c r="J154" s="6">
        <v>16.780872170201999</v>
      </c>
      <c r="K154" s="6">
        <v>-96.579652772813006</v>
      </c>
      <c r="L154" s="6" t="str">
        <f>HYPERLINK("https://maps.google.com/?q=16.7808721702019,-96.579652772813205", "🔗 Ver Mapa")</f>
        <v>🔗 Ver Mapa</v>
      </c>
    </row>
    <row r="155" spans="1:12" ht="43.5" x14ac:dyDescent="0.35">
      <c r="A155" s="5" t="s">
        <v>8</v>
      </c>
      <c r="B155" s="5" t="s">
        <v>16</v>
      </c>
      <c r="C155" s="5" t="s">
        <v>77</v>
      </c>
      <c r="D155" s="5" t="s">
        <v>35</v>
      </c>
      <c r="E155" s="5" t="s">
        <v>37</v>
      </c>
      <c r="F155" s="5" t="s">
        <v>78</v>
      </c>
      <c r="G155" s="5" t="s">
        <v>79</v>
      </c>
      <c r="H155" s="5" t="s">
        <v>80</v>
      </c>
      <c r="I155" s="5" t="s">
        <v>63</v>
      </c>
      <c r="J155" s="5">
        <v>16.780893929057999</v>
      </c>
      <c r="K155" s="5">
        <v>-96.583687040021005</v>
      </c>
      <c r="L155" s="5" t="str">
        <f>HYPERLINK("https://maps.google.com/?q=16.7808939290578,-96.583687040020607", "🔗 Ver Mapa")</f>
        <v>🔗 Ver Mapa</v>
      </c>
    </row>
    <row r="156" spans="1:12" ht="43.5" x14ac:dyDescent="0.35">
      <c r="A156" s="6" t="s">
        <v>8</v>
      </c>
      <c r="B156" s="6" t="s">
        <v>16</v>
      </c>
      <c r="C156" s="6" t="s">
        <v>77</v>
      </c>
      <c r="D156" s="6" t="s">
        <v>35</v>
      </c>
      <c r="E156" s="6" t="s">
        <v>37</v>
      </c>
      <c r="F156" s="6" t="s">
        <v>78</v>
      </c>
      <c r="G156" s="6" t="s">
        <v>79</v>
      </c>
      <c r="H156" s="6" t="s">
        <v>80</v>
      </c>
      <c r="I156" s="6" t="s">
        <v>63</v>
      </c>
      <c r="J156" s="6">
        <v>16.780924166260998</v>
      </c>
      <c r="K156" s="6">
        <v>-96.582212612269004</v>
      </c>
      <c r="L156" s="6" t="str">
        <f>HYPERLINK("https://maps.google.com/?q=16.7809241662611,-96.582212612268506", "🔗 Ver Mapa")</f>
        <v>🔗 Ver Mapa</v>
      </c>
    </row>
    <row r="157" spans="1:12" ht="43.5" x14ac:dyDescent="0.35">
      <c r="A157" s="5" t="s">
        <v>8</v>
      </c>
      <c r="B157" s="5" t="s">
        <v>16</v>
      </c>
      <c r="C157" s="5" t="s">
        <v>77</v>
      </c>
      <c r="D157" s="5" t="s">
        <v>35</v>
      </c>
      <c r="E157" s="5" t="s">
        <v>37</v>
      </c>
      <c r="F157" s="5" t="s">
        <v>78</v>
      </c>
      <c r="G157" s="5" t="s">
        <v>79</v>
      </c>
      <c r="H157" s="5" t="s">
        <v>80</v>
      </c>
      <c r="I157" s="5" t="s">
        <v>63</v>
      </c>
      <c r="J157" s="5">
        <v>16.780983026714999</v>
      </c>
      <c r="K157" s="5">
        <v>-96.583823798777004</v>
      </c>
      <c r="L157" s="5" t="str">
        <f>HYPERLINK("https://maps.google.com/?q=16.7809830267153,-96.583823798776706", "🔗 Ver Mapa")</f>
        <v>🔗 Ver Mapa</v>
      </c>
    </row>
    <row r="158" spans="1:12" ht="43.5" x14ac:dyDescent="0.35">
      <c r="A158" s="6" t="s">
        <v>8</v>
      </c>
      <c r="B158" s="6" t="s">
        <v>16</v>
      </c>
      <c r="C158" s="6" t="s">
        <v>77</v>
      </c>
      <c r="D158" s="6" t="s">
        <v>35</v>
      </c>
      <c r="E158" s="6" t="s">
        <v>37</v>
      </c>
      <c r="F158" s="6" t="s">
        <v>78</v>
      </c>
      <c r="G158" s="6" t="s">
        <v>79</v>
      </c>
      <c r="H158" s="6" t="s">
        <v>80</v>
      </c>
      <c r="I158" s="6" t="s">
        <v>63</v>
      </c>
      <c r="J158" s="6">
        <v>16.780990933961998</v>
      </c>
      <c r="K158" s="6">
        <v>-96.584209915344005</v>
      </c>
      <c r="L158" s="6" t="str">
        <f>HYPERLINK("https://maps.google.com/?q=16.7809909339621,-96.584209915344303", "🔗 Ver Mapa")</f>
        <v>🔗 Ver Mapa</v>
      </c>
    </row>
    <row r="159" spans="1:12" ht="43.5" x14ac:dyDescent="0.35">
      <c r="A159" s="5" t="s">
        <v>8</v>
      </c>
      <c r="B159" s="5" t="s">
        <v>16</v>
      </c>
      <c r="C159" s="5" t="s">
        <v>77</v>
      </c>
      <c r="D159" s="5" t="s">
        <v>35</v>
      </c>
      <c r="E159" s="5" t="s">
        <v>37</v>
      </c>
      <c r="F159" s="5" t="s">
        <v>78</v>
      </c>
      <c r="G159" s="5" t="s">
        <v>79</v>
      </c>
      <c r="H159" s="5" t="s">
        <v>80</v>
      </c>
      <c r="I159" s="5" t="s">
        <v>63</v>
      </c>
      <c r="J159" s="5">
        <v>16.781306725947001</v>
      </c>
      <c r="K159" s="5">
        <v>-96.584149998881998</v>
      </c>
      <c r="L159" s="5" t="str">
        <f>HYPERLINK("https://maps.google.com/?q=16.7813067259472,-96.584149998882197", "🔗 Ver Mapa")</f>
        <v>🔗 Ver Mapa</v>
      </c>
    </row>
    <row r="160" spans="1:12" ht="43.5" x14ac:dyDescent="0.35">
      <c r="A160" s="6" t="s">
        <v>8</v>
      </c>
      <c r="B160" s="6" t="s">
        <v>16</v>
      </c>
      <c r="C160" s="6" t="s">
        <v>77</v>
      </c>
      <c r="D160" s="6" t="s">
        <v>35</v>
      </c>
      <c r="E160" s="6" t="s">
        <v>37</v>
      </c>
      <c r="F160" s="6" t="s">
        <v>78</v>
      </c>
      <c r="G160" s="6" t="s">
        <v>79</v>
      </c>
      <c r="H160" s="6" t="s">
        <v>80</v>
      </c>
      <c r="I160" s="6" t="s">
        <v>63</v>
      </c>
      <c r="J160" s="6">
        <v>16.781547742712</v>
      </c>
      <c r="K160" s="6">
        <v>-96.584450547662996</v>
      </c>
      <c r="L160" s="6" t="str">
        <f>HYPERLINK("https://maps.google.com/?q=16.7815477427118,-96.584450547662797", "🔗 Ver Mapa")</f>
        <v>🔗 Ver Mapa</v>
      </c>
    </row>
    <row r="161" spans="1:12" ht="43.5" x14ac:dyDescent="0.35">
      <c r="A161" s="5" t="s">
        <v>8</v>
      </c>
      <c r="B161" s="5" t="s">
        <v>16</v>
      </c>
      <c r="C161" s="5" t="s">
        <v>77</v>
      </c>
      <c r="D161" s="5" t="s">
        <v>35</v>
      </c>
      <c r="E161" s="5" t="s">
        <v>37</v>
      </c>
      <c r="F161" s="5" t="s">
        <v>78</v>
      </c>
      <c r="G161" s="5" t="s">
        <v>79</v>
      </c>
      <c r="H161" s="5" t="s">
        <v>80</v>
      </c>
      <c r="I161" s="5" t="s">
        <v>63</v>
      </c>
      <c r="J161" s="5">
        <v>16.781615434652</v>
      </c>
      <c r="K161" s="5">
        <v>-96.579840000000004</v>
      </c>
      <c r="L161" s="5" t="str">
        <f>HYPERLINK("https://maps.google.com/?q=16.781615434652,-96.579839999999905", "🔗 Ver Mapa")</f>
        <v>🔗 Ver Mapa</v>
      </c>
    </row>
    <row r="162" spans="1:12" ht="43.5" x14ac:dyDescent="0.35">
      <c r="A162" s="6" t="s">
        <v>8</v>
      </c>
      <c r="B162" s="6" t="s">
        <v>16</v>
      </c>
      <c r="C162" s="6" t="s">
        <v>77</v>
      </c>
      <c r="D162" s="6" t="s">
        <v>35</v>
      </c>
      <c r="E162" s="6" t="s">
        <v>37</v>
      </c>
      <c r="F162" s="6" t="s">
        <v>78</v>
      </c>
      <c r="G162" s="6" t="s">
        <v>79</v>
      </c>
      <c r="H162" s="6" t="s">
        <v>80</v>
      </c>
      <c r="I162" s="6" t="s">
        <v>63</v>
      </c>
      <c r="J162" s="6">
        <v>16.781647742789001</v>
      </c>
      <c r="K162" s="6">
        <v>-96.583186149056999</v>
      </c>
      <c r="L162" s="6" t="str">
        <f>HYPERLINK("https://maps.google.com/?q=16.781647742789,-96.583186149056502", "🔗 Ver Mapa")</f>
        <v>🔗 Ver Mapa</v>
      </c>
    </row>
    <row r="163" spans="1:12" ht="43.5" x14ac:dyDescent="0.35">
      <c r="A163" s="5" t="s">
        <v>8</v>
      </c>
      <c r="B163" s="5" t="s">
        <v>16</v>
      </c>
      <c r="C163" s="5" t="s">
        <v>77</v>
      </c>
      <c r="D163" s="5" t="s">
        <v>35</v>
      </c>
      <c r="E163" s="5" t="s">
        <v>37</v>
      </c>
      <c r="F163" s="5" t="s">
        <v>78</v>
      </c>
      <c r="G163" s="5" t="s">
        <v>79</v>
      </c>
      <c r="H163" s="5" t="s">
        <v>80</v>
      </c>
      <c r="I163" s="5" t="s">
        <v>63</v>
      </c>
      <c r="J163" s="5">
        <v>16.781800537487999</v>
      </c>
      <c r="K163" s="5">
        <v>-96.583003435821993</v>
      </c>
      <c r="L163" s="5" t="str">
        <f>HYPERLINK("https://maps.google.com/?q=16.7818005374881,-96.583003435821894", "🔗 Ver Mapa")</f>
        <v>🔗 Ver Mapa</v>
      </c>
    </row>
    <row r="164" spans="1:12" ht="43.5" x14ac:dyDescent="0.35">
      <c r="A164" s="6" t="s">
        <v>8</v>
      </c>
      <c r="B164" s="6" t="s">
        <v>16</v>
      </c>
      <c r="C164" s="6" t="s">
        <v>77</v>
      </c>
      <c r="D164" s="6" t="s">
        <v>35</v>
      </c>
      <c r="E164" s="6" t="s">
        <v>37</v>
      </c>
      <c r="F164" s="6" t="s">
        <v>78</v>
      </c>
      <c r="G164" s="6" t="s">
        <v>79</v>
      </c>
      <c r="H164" s="6" t="s">
        <v>80</v>
      </c>
      <c r="I164" s="6" t="s">
        <v>63</v>
      </c>
      <c r="J164" s="6">
        <v>16.781890075145999</v>
      </c>
      <c r="K164" s="6">
        <v>-96.581280370534998</v>
      </c>
      <c r="L164" s="6" t="str">
        <f>HYPERLINK("https://maps.google.com/?q=16.7818900751457,-96.581280370534998", "🔗 Ver Mapa")</f>
        <v>🔗 Ver Mapa</v>
      </c>
    </row>
    <row r="165" spans="1:12" ht="43.5" x14ac:dyDescent="0.35">
      <c r="A165" s="5" t="s">
        <v>8</v>
      </c>
      <c r="B165" s="5" t="s">
        <v>16</v>
      </c>
      <c r="C165" s="5" t="s">
        <v>77</v>
      </c>
      <c r="D165" s="5" t="s">
        <v>35</v>
      </c>
      <c r="E165" s="5" t="s">
        <v>37</v>
      </c>
      <c r="F165" s="5" t="s">
        <v>78</v>
      </c>
      <c r="G165" s="5" t="s">
        <v>79</v>
      </c>
      <c r="H165" s="5" t="s">
        <v>80</v>
      </c>
      <c r="I165" s="5" t="s">
        <v>63</v>
      </c>
      <c r="J165" s="5">
        <v>16.781918322877999</v>
      </c>
      <c r="K165" s="5">
        <v>-96.582741097943</v>
      </c>
      <c r="L165" s="5" t="str">
        <f>HYPERLINK("https://maps.google.com/?q=16.7819183228783,-96.582741097943", "🔗 Ver Mapa")</f>
        <v>🔗 Ver Mapa</v>
      </c>
    </row>
    <row r="166" spans="1:12" ht="43.5" x14ac:dyDescent="0.35">
      <c r="A166" s="6" t="s">
        <v>8</v>
      </c>
      <c r="B166" s="6" t="s">
        <v>16</v>
      </c>
      <c r="C166" s="6" t="s">
        <v>77</v>
      </c>
      <c r="D166" s="6" t="s">
        <v>35</v>
      </c>
      <c r="E166" s="6" t="s">
        <v>37</v>
      </c>
      <c r="F166" s="6" t="s">
        <v>78</v>
      </c>
      <c r="G166" s="6" t="s">
        <v>79</v>
      </c>
      <c r="H166" s="6" t="s">
        <v>80</v>
      </c>
      <c r="I166" s="6" t="s">
        <v>63</v>
      </c>
      <c r="J166" s="6">
        <v>16.782115878782001</v>
      </c>
      <c r="K166" s="6">
        <v>-96.578324038028995</v>
      </c>
      <c r="L166" s="6" t="str">
        <f>HYPERLINK("https://maps.google.com/?q=16.7821158787817,-96.578324038028796", "🔗 Ver Mapa")</f>
        <v>🔗 Ver Mapa</v>
      </c>
    </row>
    <row r="167" spans="1:12" ht="43.5" x14ac:dyDescent="0.35">
      <c r="A167" s="5" t="s">
        <v>8</v>
      </c>
      <c r="B167" s="5" t="s">
        <v>16</v>
      </c>
      <c r="C167" s="5" t="s">
        <v>77</v>
      </c>
      <c r="D167" s="5" t="s">
        <v>35</v>
      </c>
      <c r="E167" s="5" t="s">
        <v>37</v>
      </c>
      <c r="F167" s="5" t="s">
        <v>78</v>
      </c>
      <c r="G167" s="5" t="s">
        <v>79</v>
      </c>
      <c r="H167" s="5" t="s">
        <v>80</v>
      </c>
      <c r="I167" s="5" t="s">
        <v>63</v>
      </c>
      <c r="J167" s="5">
        <v>16.782154112535999</v>
      </c>
      <c r="K167" s="5">
        <v>-96.580860117789001</v>
      </c>
      <c r="L167" s="5" t="str">
        <f>HYPERLINK("https://maps.google.com/?q=16.782154112536,-96.5808601177893", "🔗 Ver Mapa")</f>
        <v>🔗 Ver Mapa</v>
      </c>
    </row>
    <row r="168" spans="1:12" ht="43.5" x14ac:dyDescent="0.35">
      <c r="A168" s="6" t="s">
        <v>8</v>
      </c>
      <c r="B168" s="6" t="s">
        <v>16</v>
      </c>
      <c r="C168" s="6" t="s">
        <v>77</v>
      </c>
      <c r="D168" s="6" t="s">
        <v>35</v>
      </c>
      <c r="E168" s="6" t="s">
        <v>37</v>
      </c>
      <c r="F168" s="6" t="s">
        <v>78</v>
      </c>
      <c r="G168" s="6" t="s">
        <v>79</v>
      </c>
      <c r="H168" s="6" t="s">
        <v>80</v>
      </c>
      <c r="I168" s="6" t="s">
        <v>63</v>
      </c>
      <c r="J168" s="6">
        <v>16.782159013093001</v>
      </c>
      <c r="K168" s="6">
        <v>-96.58135136816</v>
      </c>
      <c r="L168" s="6" t="str">
        <f>HYPERLINK("https://maps.google.com/?q=16.7821590130926,-96.581351368160298", "🔗 Ver Mapa")</f>
        <v>🔗 Ver Mapa</v>
      </c>
    </row>
    <row r="169" spans="1:12" ht="43.5" x14ac:dyDescent="0.35">
      <c r="A169" s="5" t="s">
        <v>8</v>
      </c>
      <c r="B169" s="5" t="s">
        <v>16</v>
      </c>
      <c r="C169" s="5" t="s">
        <v>77</v>
      </c>
      <c r="D169" s="5" t="s">
        <v>35</v>
      </c>
      <c r="E169" s="5" t="s">
        <v>37</v>
      </c>
      <c r="F169" s="5" t="s">
        <v>78</v>
      </c>
      <c r="G169" s="5" t="s">
        <v>79</v>
      </c>
      <c r="H169" s="5" t="s">
        <v>80</v>
      </c>
      <c r="I169" s="5" t="s">
        <v>63</v>
      </c>
      <c r="J169" s="5">
        <v>16.782195282117002</v>
      </c>
      <c r="K169" s="5">
        <v>-96.578944998690005</v>
      </c>
      <c r="L169" s="5" t="str">
        <f>HYPERLINK("https://maps.google.com/?q=16.7821952821172,-96.578944998689707", "🔗 Ver Mapa")</f>
        <v>🔗 Ver Mapa</v>
      </c>
    </row>
    <row r="170" spans="1:12" ht="43.5" x14ac:dyDescent="0.35">
      <c r="A170" s="6" t="s">
        <v>8</v>
      </c>
      <c r="B170" s="6" t="s">
        <v>16</v>
      </c>
      <c r="C170" s="6" t="s">
        <v>77</v>
      </c>
      <c r="D170" s="6" t="s">
        <v>35</v>
      </c>
      <c r="E170" s="6" t="s">
        <v>37</v>
      </c>
      <c r="F170" s="6" t="s">
        <v>78</v>
      </c>
      <c r="G170" s="6" t="s">
        <v>79</v>
      </c>
      <c r="H170" s="6" t="s">
        <v>80</v>
      </c>
      <c r="I170" s="6" t="s">
        <v>63</v>
      </c>
      <c r="J170" s="6">
        <v>16.782216387953</v>
      </c>
      <c r="K170" s="6">
        <v>-96.579046512844002</v>
      </c>
      <c r="L170" s="6" t="str">
        <f>HYPERLINK("https://maps.google.com/?q=16.7822163879533,-96.579046512844101", "🔗 Ver Mapa")</f>
        <v>🔗 Ver Mapa</v>
      </c>
    </row>
    <row r="171" spans="1:12" ht="43.5" x14ac:dyDescent="0.35">
      <c r="A171" s="5" t="s">
        <v>8</v>
      </c>
      <c r="B171" s="5" t="s">
        <v>16</v>
      </c>
      <c r="C171" s="5" t="s">
        <v>77</v>
      </c>
      <c r="D171" s="5" t="s">
        <v>35</v>
      </c>
      <c r="E171" s="5" t="s">
        <v>37</v>
      </c>
      <c r="F171" s="5" t="s">
        <v>78</v>
      </c>
      <c r="G171" s="5" t="s">
        <v>79</v>
      </c>
      <c r="H171" s="5" t="s">
        <v>80</v>
      </c>
      <c r="I171" s="5" t="s">
        <v>63</v>
      </c>
      <c r="J171" s="5">
        <v>16.782223672392998</v>
      </c>
      <c r="K171" s="5">
        <v>-96.582570254513996</v>
      </c>
      <c r="L171" s="5" t="str">
        <f>HYPERLINK("https://maps.google.com/?q=16.7822236723925,-96.582570254513698", "🔗 Ver Mapa")</f>
        <v>🔗 Ver Mapa</v>
      </c>
    </row>
    <row r="172" spans="1:12" ht="43.5" x14ac:dyDescent="0.35">
      <c r="A172" s="6" t="s">
        <v>8</v>
      </c>
      <c r="B172" s="6" t="s">
        <v>16</v>
      </c>
      <c r="C172" s="6" t="s">
        <v>77</v>
      </c>
      <c r="D172" s="6" t="s">
        <v>35</v>
      </c>
      <c r="E172" s="6" t="s">
        <v>37</v>
      </c>
      <c r="F172" s="6" t="s">
        <v>78</v>
      </c>
      <c r="G172" s="6" t="s">
        <v>79</v>
      </c>
      <c r="H172" s="6" t="s">
        <v>80</v>
      </c>
      <c r="I172" s="6" t="s">
        <v>63</v>
      </c>
      <c r="J172" s="6">
        <v>16.782328585683999</v>
      </c>
      <c r="K172" s="6">
        <v>-96.584103829775003</v>
      </c>
      <c r="L172" s="6" t="str">
        <f>HYPERLINK("https://maps.google.com/?q=16.7823285856839,-96.584103829774804", "🔗 Ver Mapa")</f>
        <v>🔗 Ver Mapa</v>
      </c>
    </row>
    <row r="173" spans="1:12" ht="43.5" x14ac:dyDescent="0.35">
      <c r="A173" s="5" t="s">
        <v>8</v>
      </c>
      <c r="B173" s="5" t="s">
        <v>16</v>
      </c>
      <c r="C173" s="5" t="s">
        <v>77</v>
      </c>
      <c r="D173" s="5" t="s">
        <v>35</v>
      </c>
      <c r="E173" s="5" t="s">
        <v>37</v>
      </c>
      <c r="F173" s="5" t="s">
        <v>78</v>
      </c>
      <c r="G173" s="5" t="s">
        <v>79</v>
      </c>
      <c r="H173" s="5" t="s">
        <v>80</v>
      </c>
      <c r="I173" s="5" t="s">
        <v>63</v>
      </c>
      <c r="J173" s="5">
        <v>16.782379140890999</v>
      </c>
      <c r="K173" s="5">
        <v>-96.578762240006</v>
      </c>
      <c r="L173" s="5" t="str">
        <f>HYPERLINK("https://maps.google.com/?q=16.7823791408913,-96.5787622400061", "🔗 Ver Mapa")</f>
        <v>🔗 Ver Mapa</v>
      </c>
    </row>
    <row r="174" spans="1:12" ht="43.5" x14ac:dyDescent="0.35">
      <c r="A174" s="6" t="s">
        <v>8</v>
      </c>
      <c r="B174" s="6" t="s">
        <v>16</v>
      </c>
      <c r="C174" s="6" t="s">
        <v>77</v>
      </c>
      <c r="D174" s="6" t="s">
        <v>35</v>
      </c>
      <c r="E174" s="6" t="s">
        <v>37</v>
      </c>
      <c r="F174" s="6" t="s">
        <v>78</v>
      </c>
      <c r="G174" s="6" t="s">
        <v>79</v>
      </c>
      <c r="H174" s="6" t="s">
        <v>80</v>
      </c>
      <c r="I174" s="6" t="s">
        <v>63</v>
      </c>
      <c r="J174" s="6">
        <v>16.782419111633999</v>
      </c>
      <c r="K174" s="6">
        <v>-96.582230046627998</v>
      </c>
      <c r="L174" s="6" t="str">
        <f>HYPERLINK("https://maps.google.com/?q=16.7824191116336,-96.582230046627501", "🔗 Ver Mapa")</f>
        <v>🔗 Ver Mapa</v>
      </c>
    </row>
    <row r="175" spans="1:12" ht="43.5" x14ac:dyDescent="0.35">
      <c r="A175" s="5" t="s">
        <v>8</v>
      </c>
      <c r="B175" s="5" t="s">
        <v>16</v>
      </c>
      <c r="C175" s="5" t="s">
        <v>77</v>
      </c>
      <c r="D175" s="5" t="s">
        <v>35</v>
      </c>
      <c r="E175" s="5" t="s">
        <v>37</v>
      </c>
      <c r="F175" s="5" t="s">
        <v>78</v>
      </c>
      <c r="G175" s="5" t="s">
        <v>79</v>
      </c>
      <c r="H175" s="5" t="s">
        <v>80</v>
      </c>
      <c r="I175" s="5" t="s">
        <v>63</v>
      </c>
      <c r="J175" s="5">
        <v>16.782441767093001</v>
      </c>
      <c r="K175" s="5">
        <v>-96.580358396329999</v>
      </c>
      <c r="L175" s="5" t="str">
        <f>HYPERLINK("https://maps.google.com/?q=16.7824417670931,-96.580358396329899", "🔗 Ver Mapa")</f>
        <v>🔗 Ver Mapa</v>
      </c>
    </row>
    <row r="176" spans="1:12" ht="43.5" x14ac:dyDescent="0.35">
      <c r="A176" s="6" t="s">
        <v>8</v>
      </c>
      <c r="B176" s="6" t="s">
        <v>16</v>
      </c>
      <c r="C176" s="6" t="s">
        <v>77</v>
      </c>
      <c r="D176" s="6" t="s">
        <v>35</v>
      </c>
      <c r="E176" s="6" t="s">
        <v>37</v>
      </c>
      <c r="F176" s="6" t="s">
        <v>78</v>
      </c>
      <c r="G176" s="6" t="s">
        <v>79</v>
      </c>
      <c r="H176" s="6" t="s">
        <v>80</v>
      </c>
      <c r="I176" s="6" t="s">
        <v>63</v>
      </c>
      <c r="J176" s="6">
        <v>16.782506757690001</v>
      </c>
      <c r="K176" s="6">
        <v>-96.578412334261998</v>
      </c>
      <c r="L176" s="6" t="str">
        <f>HYPERLINK("https://maps.google.com/?q=16.7825067576899,-96.578412334261799", "🔗 Ver Mapa")</f>
        <v>🔗 Ver Mapa</v>
      </c>
    </row>
    <row r="177" spans="1:12" ht="43.5" x14ac:dyDescent="0.35">
      <c r="A177" s="5" t="s">
        <v>8</v>
      </c>
      <c r="B177" s="5" t="s">
        <v>16</v>
      </c>
      <c r="C177" s="5" t="s">
        <v>77</v>
      </c>
      <c r="D177" s="5" t="s">
        <v>35</v>
      </c>
      <c r="E177" s="5" t="s">
        <v>37</v>
      </c>
      <c r="F177" s="5" t="s">
        <v>78</v>
      </c>
      <c r="G177" s="5" t="s">
        <v>79</v>
      </c>
      <c r="H177" s="5" t="s">
        <v>80</v>
      </c>
      <c r="I177" s="5" t="s">
        <v>63</v>
      </c>
      <c r="J177" s="5">
        <v>16.782514042035999</v>
      </c>
      <c r="K177" s="5">
        <v>-96.578645504299004</v>
      </c>
      <c r="L177" s="5" t="str">
        <f>HYPERLINK("https://maps.google.com/?q=16.782514042036,-96.578645504299203", "🔗 Ver Mapa")</f>
        <v>🔗 Ver Mapa</v>
      </c>
    </row>
    <row r="178" spans="1:12" ht="43.5" x14ac:dyDescent="0.35">
      <c r="A178" s="6" t="s">
        <v>8</v>
      </c>
      <c r="B178" s="6" t="s">
        <v>16</v>
      </c>
      <c r="C178" s="6" t="s">
        <v>77</v>
      </c>
      <c r="D178" s="6" t="s">
        <v>35</v>
      </c>
      <c r="E178" s="6" t="s">
        <v>37</v>
      </c>
      <c r="F178" s="6" t="s">
        <v>78</v>
      </c>
      <c r="G178" s="6" t="s">
        <v>79</v>
      </c>
      <c r="H178" s="6" t="s">
        <v>80</v>
      </c>
      <c r="I178" s="6" t="s">
        <v>63</v>
      </c>
      <c r="J178" s="6">
        <v>16.782553703308999</v>
      </c>
      <c r="K178" s="6">
        <v>-96.577896274292002</v>
      </c>
      <c r="L178" s="6" t="str">
        <f>HYPERLINK("https://maps.google.com/?q=16.7825537033089,-96.577896274292002", "🔗 Ver Mapa")</f>
        <v>🔗 Ver Mapa</v>
      </c>
    </row>
    <row r="179" spans="1:12" ht="43.5" x14ac:dyDescent="0.35">
      <c r="A179" s="5" t="s">
        <v>8</v>
      </c>
      <c r="B179" s="5" t="s">
        <v>16</v>
      </c>
      <c r="C179" s="5" t="s">
        <v>77</v>
      </c>
      <c r="D179" s="5" t="s">
        <v>35</v>
      </c>
      <c r="E179" s="5" t="s">
        <v>37</v>
      </c>
      <c r="F179" s="5" t="s">
        <v>78</v>
      </c>
      <c r="G179" s="5" t="s">
        <v>79</v>
      </c>
      <c r="H179" s="5" t="s">
        <v>80</v>
      </c>
      <c r="I179" s="5" t="s">
        <v>63</v>
      </c>
      <c r="J179" s="5">
        <v>16.782620174836001</v>
      </c>
      <c r="K179" s="5" t="s">
        <v>81</v>
      </c>
      <c r="L179" s="5" t="str">
        <f>HYPERLINK("https://maps.google.com/?q=16.7826201748362, -96.5797856625659", "🔗 Ver Mapa")</f>
        <v>🔗 Ver Mapa</v>
      </c>
    </row>
    <row r="180" spans="1:12" ht="43.5" x14ac:dyDescent="0.35">
      <c r="A180" s="6" t="s">
        <v>8</v>
      </c>
      <c r="B180" s="6" t="s">
        <v>16</v>
      </c>
      <c r="C180" s="6" t="s">
        <v>77</v>
      </c>
      <c r="D180" s="6" t="s">
        <v>35</v>
      </c>
      <c r="E180" s="6" t="s">
        <v>37</v>
      </c>
      <c r="F180" s="6" t="s">
        <v>78</v>
      </c>
      <c r="G180" s="6" t="s">
        <v>79</v>
      </c>
      <c r="H180" s="6" t="s">
        <v>80</v>
      </c>
      <c r="I180" s="6" t="s">
        <v>63</v>
      </c>
      <c r="J180" s="6">
        <v>16.782630051855001</v>
      </c>
      <c r="K180" s="6">
        <v>-96.583831566477997</v>
      </c>
      <c r="L180" s="6" t="str">
        <f>HYPERLINK("https://maps.google.com/?q=16.7826300518546,-96.583831566477897", "🔗 Ver Mapa")</f>
        <v>🔗 Ver Mapa</v>
      </c>
    </row>
    <row r="181" spans="1:12" ht="43.5" x14ac:dyDescent="0.35">
      <c r="A181" s="5" t="s">
        <v>8</v>
      </c>
      <c r="B181" s="5" t="s">
        <v>16</v>
      </c>
      <c r="C181" s="5" t="s">
        <v>77</v>
      </c>
      <c r="D181" s="5" t="s">
        <v>35</v>
      </c>
      <c r="E181" s="5" t="s">
        <v>37</v>
      </c>
      <c r="F181" s="5" t="s">
        <v>78</v>
      </c>
      <c r="G181" s="5" t="s">
        <v>79</v>
      </c>
      <c r="H181" s="5" t="s">
        <v>80</v>
      </c>
      <c r="I181" s="5" t="s">
        <v>63</v>
      </c>
      <c r="J181" s="5">
        <v>16.782666496253999</v>
      </c>
      <c r="K181" s="5">
        <v>-96.584627528191007</v>
      </c>
      <c r="L181" s="5" t="str">
        <f>HYPERLINK("https://maps.google.com/?q=16.7826664962535,-96.584627528191106", "🔗 Ver Mapa")</f>
        <v>🔗 Ver Mapa</v>
      </c>
    </row>
    <row r="182" spans="1:12" ht="43.5" x14ac:dyDescent="0.35">
      <c r="A182" s="6" t="s">
        <v>8</v>
      </c>
      <c r="B182" s="6" t="s">
        <v>16</v>
      </c>
      <c r="C182" s="6" t="s">
        <v>77</v>
      </c>
      <c r="D182" s="6" t="s">
        <v>35</v>
      </c>
      <c r="E182" s="6" t="s">
        <v>37</v>
      </c>
      <c r="F182" s="6" t="s">
        <v>78</v>
      </c>
      <c r="G182" s="6" t="s">
        <v>79</v>
      </c>
      <c r="H182" s="6" t="s">
        <v>80</v>
      </c>
      <c r="I182" s="6" t="s">
        <v>63</v>
      </c>
      <c r="J182" s="6">
        <v>16.782837065791998</v>
      </c>
      <c r="K182" s="6">
        <v>-96.582372595072002</v>
      </c>
      <c r="L182" s="6" t="str">
        <f>HYPERLINK("https://maps.google.com/?q=16.7828370657922,-96.582372595071902", "🔗 Ver Mapa")</f>
        <v>🔗 Ver Mapa</v>
      </c>
    </row>
    <row r="183" spans="1:12" ht="43.5" x14ac:dyDescent="0.35">
      <c r="A183" s="5" t="s">
        <v>8</v>
      </c>
      <c r="B183" s="5" t="s">
        <v>16</v>
      </c>
      <c r="C183" s="5" t="s">
        <v>77</v>
      </c>
      <c r="D183" s="5" t="s">
        <v>35</v>
      </c>
      <c r="E183" s="5" t="s">
        <v>37</v>
      </c>
      <c r="F183" s="5" t="s">
        <v>78</v>
      </c>
      <c r="G183" s="5" t="s">
        <v>79</v>
      </c>
      <c r="H183" s="5" t="s">
        <v>80</v>
      </c>
      <c r="I183" s="5" t="s">
        <v>63</v>
      </c>
      <c r="J183" s="5">
        <v>16.782846053663</v>
      </c>
      <c r="K183" s="5">
        <v>-96.579091898147993</v>
      </c>
      <c r="L183" s="5" t="str">
        <f>HYPERLINK("https://maps.google.com/?q=16.7828460536628,-96.579091898147695", "🔗 Ver Mapa")</f>
        <v>🔗 Ver Mapa</v>
      </c>
    </row>
    <row r="184" spans="1:12" ht="43.5" x14ac:dyDescent="0.35">
      <c r="A184" s="6" t="s">
        <v>8</v>
      </c>
      <c r="B184" s="6" t="s">
        <v>16</v>
      </c>
      <c r="C184" s="6" t="s">
        <v>77</v>
      </c>
      <c r="D184" s="6" t="s">
        <v>35</v>
      </c>
      <c r="E184" s="6" t="s">
        <v>37</v>
      </c>
      <c r="F184" s="6" t="s">
        <v>78</v>
      </c>
      <c r="G184" s="6" t="s">
        <v>79</v>
      </c>
      <c r="H184" s="6" t="s">
        <v>80</v>
      </c>
      <c r="I184" s="6" t="s">
        <v>63</v>
      </c>
      <c r="J184" s="6">
        <v>16.782900516695001</v>
      </c>
      <c r="K184" s="6">
        <v>-96.585561586211</v>
      </c>
      <c r="L184" s="6" t="str">
        <f>HYPERLINK("https://maps.google.com/?q=16.7829005166952,-96.585561586211298", "🔗 Ver Mapa")</f>
        <v>🔗 Ver Mapa</v>
      </c>
    </row>
    <row r="185" spans="1:12" ht="43.5" x14ac:dyDescent="0.35">
      <c r="A185" s="5" t="s">
        <v>8</v>
      </c>
      <c r="B185" s="5" t="s">
        <v>16</v>
      </c>
      <c r="C185" s="5" t="s">
        <v>77</v>
      </c>
      <c r="D185" s="5" t="s">
        <v>35</v>
      </c>
      <c r="E185" s="5" t="s">
        <v>37</v>
      </c>
      <c r="F185" s="5" t="s">
        <v>78</v>
      </c>
      <c r="G185" s="5" t="s">
        <v>79</v>
      </c>
      <c r="H185" s="5" t="s">
        <v>80</v>
      </c>
      <c r="I185" s="5" t="s">
        <v>63</v>
      </c>
      <c r="J185" s="5">
        <v>16.78303931089</v>
      </c>
      <c r="K185" s="5">
        <v>-96.579083851521005</v>
      </c>
      <c r="L185" s="5" t="str">
        <f>HYPERLINK("https://maps.google.com/?q=16.7830393108903,-96.579083851520707", "🔗 Ver Mapa")</f>
        <v>🔗 Ver Mapa</v>
      </c>
    </row>
    <row r="186" spans="1:12" ht="43.5" x14ac:dyDescent="0.35">
      <c r="A186" s="6" t="s">
        <v>8</v>
      </c>
      <c r="B186" s="6" t="s">
        <v>16</v>
      </c>
      <c r="C186" s="6" t="s">
        <v>77</v>
      </c>
      <c r="D186" s="6" t="s">
        <v>35</v>
      </c>
      <c r="E186" s="6" t="s">
        <v>37</v>
      </c>
      <c r="F186" s="6" t="s">
        <v>78</v>
      </c>
      <c r="G186" s="6" t="s">
        <v>79</v>
      </c>
      <c r="H186" s="6" t="s">
        <v>80</v>
      </c>
      <c r="I186" s="6" t="s">
        <v>63</v>
      </c>
      <c r="J186" s="6">
        <v>16.783152337533</v>
      </c>
      <c r="K186" s="6">
        <v>-96.581801061342006</v>
      </c>
      <c r="L186" s="6" t="str">
        <f>HYPERLINK("https://maps.google.com/?q=16.7831523375331,-96.581801061342304", "🔗 Ver Mapa")</f>
        <v>🔗 Ver Mapa</v>
      </c>
    </row>
    <row r="187" spans="1:12" ht="43.5" x14ac:dyDescent="0.35">
      <c r="A187" s="5" t="s">
        <v>8</v>
      </c>
      <c r="B187" s="5" t="s">
        <v>16</v>
      </c>
      <c r="C187" s="5" t="s">
        <v>77</v>
      </c>
      <c r="D187" s="5" t="s">
        <v>35</v>
      </c>
      <c r="E187" s="5" t="s">
        <v>37</v>
      </c>
      <c r="F187" s="5" t="s">
        <v>78</v>
      </c>
      <c r="G187" s="5" t="s">
        <v>79</v>
      </c>
      <c r="H187" s="5" t="s">
        <v>80</v>
      </c>
      <c r="I187" s="5" t="s">
        <v>63</v>
      </c>
      <c r="J187" s="5">
        <v>16.783154869071002</v>
      </c>
      <c r="K187" s="5">
        <v>-96.583773273644994</v>
      </c>
      <c r="L187" s="5" t="str">
        <f>HYPERLINK("https://maps.google.com/?q=16.7831548690714,-96.583773273645406", "🔗 Ver Mapa")</f>
        <v>🔗 Ver Mapa</v>
      </c>
    </row>
    <row r="188" spans="1:12" ht="43.5" x14ac:dyDescent="0.35">
      <c r="A188" s="6" t="s">
        <v>8</v>
      </c>
      <c r="B188" s="6" t="s">
        <v>16</v>
      </c>
      <c r="C188" s="6" t="s">
        <v>77</v>
      </c>
      <c r="D188" s="6" t="s">
        <v>35</v>
      </c>
      <c r="E188" s="6" t="s">
        <v>37</v>
      </c>
      <c r="F188" s="6" t="s">
        <v>78</v>
      </c>
      <c r="G188" s="6" t="s">
        <v>79</v>
      </c>
      <c r="H188" s="6" t="s">
        <v>80</v>
      </c>
      <c r="I188" s="6" t="s">
        <v>63</v>
      </c>
      <c r="J188" s="6">
        <v>16.783265576752001</v>
      </c>
      <c r="K188" s="6">
        <v>-96.587214786467001</v>
      </c>
      <c r="L188" s="6" t="str">
        <f>HYPERLINK("https://maps.google.com/?q=16.7832655767523,-96.587214786466802", "🔗 Ver Mapa")</f>
        <v>🔗 Ver Mapa</v>
      </c>
    </row>
    <row r="189" spans="1:12" ht="43.5" x14ac:dyDescent="0.35">
      <c r="A189" s="5" t="s">
        <v>8</v>
      </c>
      <c r="B189" s="5" t="s">
        <v>16</v>
      </c>
      <c r="C189" s="5" t="s">
        <v>77</v>
      </c>
      <c r="D189" s="5" t="s">
        <v>35</v>
      </c>
      <c r="E189" s="5" t="s">
        <v>37</v>
      </c>
      <c r="F189" s="5" t="s">
        <v>78</v>
      </c>
      <c r="G189" s="5" t="s">
        <v>79</v>
      </c>
      <c r="H189" s="5" t="s">
        <v>80</v>
      </c>
      <c r="I189" s="5" t="s">
        <v>63</v>
      </c>
      <c r="J189" s="5">
        <v>16.783268941888998</v>
      </c>
      <c r="K189" s="5">
        <v>-96.583618416584997</v>
      </c>
      <c r="L189" s="5" t="str">
        <f>HYPERLINK("https://maps.google.com/?q=16.7832689418893,-96.583618416584997", "🔗 Ver Mapa")</f>
        <v>🔗 Ver Mapa</v>
      </c>
    </row>
    <row r="190" spans="1:12" ht="43.5" x14ac:dyDescent="0.35">
      <c r="A190" s="6" t="s">
        <v>8</v>
      </c>
      <c r="B190" s="6" t="s">
        <v>16</v>
      </c>
      <c r="C190" s="6" t="s">
        <v>77</v>
      </c>
      <c r="D190" s="6" t="s">
        <v>35</v>
      </c>
      <c r="E190" s="6" t="s">
        <v>37</v>
      </c>
      <c r="F190" s="6" t="s">
        <v>78</v>
      </c>
      <c r="G190" s="6" t="s">
        <v>79</v>
      </c>
      <c r="H190" s="6" t="s">
        <v>80</v>
      </c>
      <c r="I190" s="6" t="s">
        <v>63</v>
      </c>
      <c r="J190" s="6">
        <v>16.783332715370999</v>
      </c>
      <c r="K190" s="6">
        <v>-96.582460057823994</v>
      </c>
      <c r="L190" s="6" t="str">
        <f>HYPERLINK("https://maps.google.com/?q=16.7833327153713,-96.582460057824406", "🔗 Ver Mapa")</f>
        <v>🔗 Ver Mapa</v>
      </c>
    </row>
    <row r="191" spans="1:12" ht="43.5" x14ac:dyDescent="0.35">
      <c r="A191" s="5" t="s">
        <v>8</v>
      </c>
      <c r="B191" s="5" t="s">
        <v>16</v>
      </c>
      <c r="C191" s="5" t="s">
        <v>77</v>
      </c>
      <c r="D191" s="5" t="s">
        <v>35</v>
      </c>
      <c r="E191" s="5" t="s">
        <v>37</v>
      </c>
      <c r="F191" s="5" t="s">
        <v>78</v>
      </c>
      <c r="G191" s="5" t="s">
        <v>79</v>
      </c>
      <c r="H191" s="5" t="s">
        <v>80</v>
      </c>
      <c r="I191" s="5" t="s">
        <v>63</v>
      </c>
      <c r="J191" s="5">
        <v>16.783423049126998</v>
      </c>
      <c r="K191" s="5">
        <v>-96.578938815973004</v>
      </c>
      <c r="L191" s="5" t="str">
        <f>HYPERLINK("https://maps.google.com/?q=16.7834230491266,-96.578938815973302", "🔗 Ver Mapa")</f>
        <v>🔗 Ver Mapa</v>
      </c>
    </row>
    <row r="192" spans="1:12" ht="43.5" x14ac:dyDescent="0.35">
      <c r="A192" s="6" t="s">
        <v>8</v>
      </c>
      <c r="B192" s="6" t="s">
        <v>16</v>
      </c>
      <c r="C192" s="6" t="s">
        <v>77</v>
      </c>
      <c r="D192" s="6" t="s">
        <v>35</v>
      </c>
      <c r="E192" s="6" t="s">
        <v>37</v>
      </c>
      <c r="F192" s="6" t="s">
        <v>78</v>
      </c>
      <c r="G192" s="6" t="s">
        <v>79</v>
      </c>
      <c r="H192" s="6" t="s">
        <v>80</v>
      </c>
      <c r="I192" s="6" t="s">
        <v>63</v>
      </c>
      <c r="J192" s="6">
        <v>16.783447876745999</v>
      </c>
      <c r="K192" s="6">
        <v>-96.581389291996004</v>
      </c>
      <c r="L192" s="6" t="str">
        <f>HYPERLINK("https://maps.google.com/?q=16.7834478767462,-96.581389291996103", "🔗 Ver Mapa")</f>
        <v>🔗 Ver Mapa</v>
      </c>
    </row>
    <row r="193" spans="1:12" ht="43.5" x14ac:dyDescent="0.35">
      <c r="A193" s="5" t="s">
        <v>8</v>
      </c>
      <c r="B193" s="5" t="s">
        <v>16</v>
      </c>
      <c r="C193" s="5" t="s">
        <v>77</v>
      </c>
      <c r="D193" s="5" t="s">
        <v>35</v>
      </c>
      <c r="E193" s="5" t="s">
        <v>37</v>
      </c>
      <c r="F193" s="5" t="s">
        <v>78</v>
      </c>
      <c r="G193" s="5" t="s">
        <v>79</v>
      </c>
      <c r="H193" s="5" t="s">
        <v>80</v>
      </c>
      <c r="I193" s="5" t="s">
        <v>63</v>
      </c>
      <c r="J193" s="5">
        <v>16.783557698683001</v>
      </c>
      <c r="K193" s="5">
        <v>-96.582278326389002</v>
      </c>
      <c r="L193" s="5" t="str">
        <f>HYPERLINK("https://maps.google.com/?q=16.7835576986833,-96.5822783263893", "🔗 Ver Mapa")</f>
        <v>🔗 Ver Mapa</v>
      </c>
    </row>
    <row r="194" spans="1:12" ht="43.5" x14ac:dyDescent="0.35">
      <c r="A194" s="6" t="s">
        <v>8</v>
      </c>
      <c r="B194" s="6" t="s">
        <v>16</v>
      </c>
      <c r="C194" s="6" t="s">
        <v>77</v>
      </c>
      <c r="D194" s="6" t="s">
        <v>35</v>
      </c>
      <c r="E194" s="6" t="s">
        <v>37</v>
      </c>
      <c r="F194" s="6" t="s">
        <v>78</v>
      </c>
      <c r="G194" s="6" t="s">
        <v>79</v>
      </c>
      <c r="H194" s="6" t="s">
        <v>80</v>
      </c>
      <c r="I194" s="6" t="s">
        <v>63</v>
      </c>
      <c r="J194" s="6">
        <v>16.783597087676</v>
      </c>
      <c r="K194" s="6">
        <v>-96.578133414128004</v>
      </c>
      <c r="L194" s="6" t="str">
        <f>HYPERLINK("https://maps.google.com/?q=16.7835970876758,-96.578133414127805", "🔗 Ver Mapa")</f>
        <v>🔗 Ver Mapa</v>
      </c>
    </row>
    <row r="195" spans="1:12" ht="43.5" x14ac:dyDescent="0.35">
      <c r="A195" s="5" t="s">
        <v>8</v>
      </c>
      <c r="B195" s="5" t="s">
        <v>16</v>
      </c>
      <c r="C195" s="5" t="s">
        <v>77</v>
      </c>
      <c r="D195" s="5" t="s">
        <v>35</v>
      </c>
      <c r="E195" s="5" t="s">
        <v>37</v>
      </c>
      <c r="F195" s="5" t="s">
        <v>78</v>
      </c>
      <c r="G195" s="5" t="s">
        <v>79</v>
      </c>
      <c r="H195" s="5" t="s">
        <v>80</v>
      </c>
      <c r="I195" s="5" t="s">
        <v>63</v>
      </c>
      <c r="J195" s="5">
        <v>16.783610360644001</v>
      </c>
      <c r="K195" s="5">
        <v>-96.587095936175999</v>
      </c>
      <c r="L195" s="5" t="str">
        <f>HYPERLINK("https://maps.google.com/?q=16.7836103606439,-96.587095936176496", "🔗 Ver Mapa")</f>
        <v>🔗 Ver Mapa</v>
      </c>
    </row>
    <row r="196" spans="1:12" ht="43.5" x14ac:dyDescent="0.35">
      <c r="A196" s="6" t="s">
        <v>8</v>
      </c>
      <c r="B196" s="6" t="s">
        <v>16</v>
      </c>
      <c r="C196" s="6" t="s">
        <v>77</v>
      </c>
      <c r="D196" s="6" t="s">
        <v>35</v>
      </c>
      <c r="E196" s="6" t="s">
        <v>37</v>
      </c>
      <c r="F196" s="6" t="s">
        <v>78</v>
      </c>
      <c r="G196" s="6" t="s">
        <v>79</v>
      </c>
      <c r="H196" s="6" t="s">
        <v>80</v>
      </c>
      <c r="I196" s="6" t="s">
        <v>63</v>
      </c>
      <c r="J196" s="6">
        <v>16.783667011399</v>
      </c>
      <c r="K196" s="6">
        <v>-96.585660716375003</v>
      </c>
      <c r="L196" s="6" t="str">
        <f>HYPERLINK("https://maps.google.com/?q=16.7836670113992,-96.585660716374505", "🔗 Ver Mapa")</f>
        <v>🔗 Ver Mapa</v>
      </c>
    </row>
    <row r="197" spans="1:12" ht="43.5" x14ac:dyDescent="0.35">
      <c r="A197" s="5" t="s">
        <v>8</v>
      </c>
      <c r="B197" s="5" t="s">
        <v>16</v>
      </c>
      <c r="C197" s="5" t="s">
        <v>77</v>
      </c>
      <c r="D197" s="5" t="s">
        <v>35</v>
      </c>
      <c r="E197" s="5" t="s">
        <v>37</v>
      </c>
      <c r="F197" s="5" t="s">
        <v>78</v>
      </c>
      <c r="G197" s="5" t="s">
        <v>79</v>
      </c>
      <c r="H197" s="5" t="s">
        <v>80</v>
      </c>
      <c r="I197" s="5" t="s">
        <v>63</v>
      </c>
      <c r="J197" s="5">
        <v>16.783685473243999</v>
      </c>
      <c r="K197" s="5">
        <v>-96.578863519014007</v>
      </c>
      <c r="L197" s="5" t="str">
        <f>HYPERLINK("https://maps.google.com/?q=16.7836854732438,-96.578863519014405", "🔗 Ver Mapa")</f>
        <v>🔗 Ver Mapa</v>
      </c>
    </row>
    <row r="198" spans="1:12" ht="43.5" x14ac:dyDescent="0.35">
      <c r="A198" s="6" t="s">
        <v>8</v>
      </c>
      <c r="B198" s="6" t="s">
        <v>16</v>
      </c>
      <c r="C198" s="6" t="s">
        <v>77</v>
      </c>
      <c r="D198" s="6" t="s">
        <v>35</v>
      </c>
      <c r="E198" s="6" t="s">
        <v>37</v>
      </c>
      <c r="F198" s="6" t="s">
        <v>78</v>
      </c>
      <c r="G198" s="6" t="s">
        <v>79</v>
      </c>
      <c r="H198" s="6" t="s">
        <v>80</v>
      </c>
      <c r="I198" s="6" t="s">
        <v>63</v>
      </c>
      <c r="J198" s="6">
        <v>16.783726619271</v>
      </c>
      <c r="K198" s="6">
        <v>-96.579933364417997</v>
      </c>
      <c r="L198" s="6" t="str">
        <f>HYPERLINK("https://maps.google.com/?q=16.7837266192711,-96.579933364418096", "🔗 Ver Mapa")</f>
        <v>🔗 Ver Mapa</v>
      </c>
    </row>
    <row r="199" spans="1:12" ht="43.5" x14ac:dyDescent="0.35">
      <c r="A199" s="5" t="s">
        <v>8</v>
      </c>
      <c r="B199" s="5" t="s">
        <v>16</v>
      </c>
      <c r="C199" s="5" t="s">
        <v>77</v>
      </c>
      <c r="D199" s="5" t="s">
        <v>35</v>
      </c>
      <c r="E199" s="5" t="s">
        <v>37</v>
      </c>
      <c r="F199" s="5" t="s">
        <v>78</v>
      </c>
      <c r="G199" s="5" t="s">
        <v>79</v>
      </c>
      <c r="H199" s="5" t="s">
        <v>80</v>
      </c>
      <c r="I199" s="5" t="s">
        <v>63</v>
      </c>
      <c r="J199" s="5">
        <v>16.783815706481999</v>
      </c>
      <c r="K199" s="5">
        <v>-96.583750752149996</v>
      </c>
      <c r="L199" s="5" t="str">
        <f>HYPERLINK("https://maps.google.com/?q=16.7838157064818,-96.583750752149697", "🔗 Ver Mapa")</f>
        <v>🔗 Ver Mapa</v>
      </c>
    </row>
    <row r="200" spans="1:12" ht="43.5" x14ac:dyDescent="0.35">
      <c r="A200" s="6" t="s">
        <v>8</v>
      </c>
      <c r="B200" s="6" t="s">
        <v>16</v>
      </c>
      <c r="C200" s="6" t="s">
        <v>77</v>
      </c>
      <c r="D200" s="6" t="s">
        <v>35</v>
      </c>
      <c r="E200" s="6" t="s">
        <v>37</v>
      </c>
      <c r="F200" s="6" t="s">
        <v>78</v>
      </c>
      <c r="G200" s="6" t="s">
        <v>79</v>
      </c>
      <c r="H200" s="6" t="s">
        <v>80</v>
      </c>
      <c r="I200" s="6" t="s">
        <v>63</v>
      </c>
      <c r="J200" s="6">
        <v>16.783874310963999</v>
      </c>
      <c r="K200" s="6">
        <v>-96.579849862336005</v>
      </c>
      <c r="L200" s="6" t="str">
        <f>HYPERLINK("https://maps.google.com/?q=16.7838743109638,-96.579849862335607", "🔗 Ver Mapa")</f>
        <v>🔗 Ver Mapa</v>
      </c>
    </row>
    <row r="201" spans="1:12" ht="43.5" x14ac:dyDescent="0.35">
      <c r="A201" s="5" t="s">
        <v>8</v>
      </c>
      <c r="B201" s="5" t="s">
        <v>16</v>
      </c>
      <c r="C201" s="5" t="s">
        <v>77</v>
      </c>
      <c r="D201" s="5" t="s">
        <v>35</v>
      </c>
      <c r="E201" s="5" t="s">
        <v>37</v>
      </c>
      <c r="F201" s="5" t="s">
        <v>78</v>
      </c>
      <c r="G201" s="5" t="s">
        <v>79</v>
      </c>
      <c r="H201" s="5" t="s">
        <v>80</v>
      </c>
      <c r="I201" s="5" t="s">
        <v>63</v>
      </c>
      <c r="J201" s="5">
        <v>16.783903988833998</v>
      </c>
      <c r="K201" s="5">
        <v>-96.585573860330001</v>
      </c>
      <c r="L201" s="5" t="str">
        <f>HYPERLINK("https://maps.google.com/?q=16.7839039888338,-96.5855738603302", "🔗 Ver Mapa")</f>
        <v>🔗 Ver Mapa</v>
      </c>
    </row>
    <row r="202" spans="1:12" ht="43.5" x14ac:dyDescent="0.35">
      <c r="A202" s="6" t="s">
        <v>8</v>
      </c>
      <c r="B202" s="6" t="s">
        <v>16</v>
      </c>
      <c r="C202" s="6" t="s">
        <v>77</v>
      </c>
      <c r="D202" s="6" t="s">
        <v>35</v>
      </c>
      <c r="E202" s="6" t="s">
        <v>37</v>
      </c>
      <c r="F202" s="6" t="s">
        <v>78</v>
      </c>
      <c r="G202" s="6" t="s">
        <v>79</v>
      </c>
      <c r="H202" s="6" t="s">
        <v>80</v>
      </c>
      <c r="I202" s="6" t="s">
        <v>63</v>
      </c>
      <c r="J202" s="6">
        <v>16.784075584669999</v>
      </c>
      <c r="K202" s="6">
        <v>-96.583841712866999</v>
      </c>
      <c r="L202" s="6" t="str">
        <f>HYPERLINK("https://maps.google.com/?q=16.7840755846704,-96.583841712866601", "🔗 Ver Mapa")</f>
        <v>🔗 Ver Mapa</v>
      </c>
    </row>
    <row r="203" spans="1:12" ht="43.5" x14ac:dyDescent="0.35">
      <c r="A203" s="5" t="s">
        <v>8</v>
      </c>
      <c r="B203" s="5" t="s">
        <v>16</v>
      </c>
      <c r="C203" s="5" t="s">
        <v>77</v>
      </c>
      <c r="D203" s="5" t="s">
        <v>35</v>
      </c>
      <c r="E203" s="5" t="s">
        <v>37</v>
      </c>
      <c r="F203" s="5" t="s">
        <v>78</v>
      </c>
      <c r="G203" s="5" t="s">
        <v>79</v>
      </c>
      <c r="H203" s="5" t="s">
        <v>80</v>
      </c>
      <c r="I203" s="5" t="s">
        <v>63</v>
      </c>
      <c r="J203" s="5">
        <v>16.784136187287999</v>
      </c>
      <c r="K203" s="5">
        <v>-96.578320930060002</v>
      </c>
      <c r="L203" s="5" t="str">
        <f>HYPERLINK("https://maps.google.com/?q=16.7841361872883,-96.578320930059505", "🔗 Ver Mapa")</f>
        <v>🔗 Ver Mapa</v>
      </c>
    </row>
    <row r="204" spans="1:12" ht="43.5" x14ac:dyDescent="0.35">
      <c r="A204" s="6" t="s">
        <v>8</v>
      </c>
      <c r="B204" s="6" t="s">
        <v>16</v>
      </c>
      <c r="C204" s="6" t="s">
        <v>77</v>
      </c>
      <c r="D204" s="6" t="s">
        <v>35</v>
      </c>
      <c r="E204" s="6" t="s">
        <v>37</v>
      </c>
      <c r="F204" s="6" t="s">
        <v>78</v>
      </c>
      <c r="G204" s="6" t="s">
        <v>79</v>
      </c>
      <c r="H204" s="6" t="s">
        <v>80</v>
      </c>
      <c r="I204" s="6" t="s">
        <v>63</v>
      </c>
      <c r="J204" s="6">
        <v>16.784165076672998</v>
      </c>
      <c r="K204" s="6">
        <v>-96.584134142940002</v>
      </c>
      <c r="L204" s="6" t="str">
        <f>HYPERLINK("https://maps.google.com/?q=16.7841650766733,-96.584134142939703", "🔗 Ver Mapa")</f>
        <v>🔗 Ver Mapa</v>
      </c>
    </row>
    <row r="205" spans="1:12" ht="43.5" x14ac:dyDescent="0.35">
      <c r="A205" s="5" t="s">
        <v>8</v>
      </c>
      <c r="B205" s="5" t="s">
        <v>16</v>
      </c>
      <c r="C205" s="5" t="s">
        <v>77</v>
      </c>
      <c r="D205" s="5" t="s">
        <v>35</v>
      </c>
      <c r="E205" s="5" t="s">
        <v>37</v>
      </c>
      <c r="F205" s="5" t="s">
        <v>78</v>
      </c>
      <c r="G205" s="5" t="s">
        <v>79</v>
      </c>
      <c r="H205" s="5" t="s">
        <v>80</v>
      </c>
      <c r="I205" s="5" t="s">
        <v>63</v>
      </c>
      <c r="J205" s="5">
        <v>16.784167002632</v>
      </c>
      <c r="K205" s="5">
        <v>-96.578015766864993</v>
      </c>
      <c r="L205" s="5" t="str">
        <f>HYPERLINK("https://maps.google.com/?q=16.7841670026321,-96.578015766864894", "🔗 Ver Mapa")</f>
        <v>🔗 Ver Mapa</v>
      </c>
    </row>
    <row r="206" spans="1:12" ht="43.5" x14ac:dyDescent="0.35">
      <c r="A206" s="6" t="s">
        <v>8</v>
      </c>
      <c r="B206" s="6" t="s">
        <v>16</v>
      </c>
      <c r="C206" s="6" t="s">
        <v>77</v>
      </c>
      <c r="D206" s="6" t="s">
        <v>35</v>
      </c>
      <c r="E206" s="6" t="s">
        <v>37</v>
      </c>
      <c r="F206" s="6" t="s">
        <v>78</v>
      </c>
      <c r="G206" s="6" t="s">
        <v>79</v>
      </c>
      <c r="H206" s="6" t="s">
        <v>80</v>
      </c>
      <c r="I206" s="6" t="s">
        <v>63</v>
      </c>
      <c r="J206" s="6">
        <v>16.784213867624999</v>
      </c>
      <c r="K206" s="6">
        <v>-96.580792096313004</v>
      </c>
      <c r="L206" s="6" t="str">
        <f>HYPERLINK("https://maps.google.com/?q=16.7842138676247,-96.580792096312607", "🔗 Ver Mapa")</f>
        <v>🔗 Ver Mapa</v>
      </c>
    </row>
    <row r="207" spans="1:12" ht="43.5" x14ac:dyDescent="0.35">
      <c r="A207" s="5" t="s">
        <v>8</v>
      </c>
      <c r="B207" s="5" t="s">
        <v>16</v>
      </c>
      <c r="C207" s="5" t="s">
        <v>77</v>
      </c>
      <c r="D207" s="5" t="s">
        <v>35</v>
      </c>
      <c r="E207" s="5" t="s">
        <v>37</v>
      </c>
      <c r="F207" s="5" t="s">
        <v>78</v>
      </c>
      <c r="G207" s="5" t="s">
        <v>79</v>
      </c>
      <c r="H207" s="5" t="s">
        <v>80</v>
      </c>
      <c r="I207" s="5" t="s">
        <v>63</v>
      </c>
      <c r="J207" s="5">
        <v>16.784229917276999</v>
      </c>
      <c r="K207" s="5">
        <v>-96.585459440475006</v>
      </c>
      <c r="L207" s="5" t="str">
        <f>HYPERLINK("https://maps.google.com/?q=16.784229917277,-96.585459440474907", "🔗 Ver Mapa")</f>
        <v>🔗 Ver Mapa</v>
      </c>
    </row>
    <row r="208" spans="1:12" ht="43.5" x14ac:dyDescent="0.35">
      <c r="A208" s="6" t="s">
        <v>8</v>
      </c>
      <c r="B208" s="6" t="s">
        <v>16</v>
      </c>
      <c r="C208" s="6" t="s">
        <v>77</v>
      </c>
      <c r="D208" s="6" t="s">
        <v>35</v>
      </c>
      <c r="E208" s="6" t="s">
        <v>37</v>
      </c>
      <c r="F208" s="6" t="s">
        <v>78</v>
      </c>
      <c r="G208" s="6" t="s">
        <v>79</v>
      </c>
      <c r="H208" s="6" t="s">
        <v>80</v>
      </c>
      <c r="I208" s="6" t="s">
        <v>63</v>
      </c>
      <c r="J208" s="6">
        <v>16.784253028774</v>
      </c>
      <c r="K208" s="6">
        <v>-96.583852579121995</v>
      </c>
      <c r="L208" s="6" t="str">
        <f>HYPERLINK("https://maps.google.com/?q=16.7842530287741,-96.583852579121697", "🔗 Ver Mapa")</f>
        <v>🔗 Ver Mapa</v>
      </c>
    </row>
    <row r="209" spans="1:12" ht="43.5" x14ac:dyDescent="0.35">
      <c r="A209" s="5" t="s">
        <v>8</v>
      </c>
      <c r="B209" s="5" t="s">
        <v>16</v>
      </c>
      <c r="C209" s="5" t="s">
        <v>77</v>
      </c>
      <c r="D209" s="5" t="s">
        <v>35</v>
      </c>
      <c r="E209" s="5" t="s">
        <v>37</v>
      </c>
      <c r="F209" s="5" t="s">
        <v>78</v>
      </c>
      <c r="G209" s="5" t="s">
        <v>79</v>
      </c>
      <c r="H209" s="5" t="s">
        <v>80</v>
      </c>
      <c r="I209" s="5" t="s">
        <v>63</v>
      </c>
      <c r="J209" s="5">
        <v>16.784436298808</v>
      </c>
      <c r="K209" s="5">
        <v>-96.582200542327996</v>
      </c>
      <c r="L209" s="5" t="str">
        <f>HYPERLINK("https://maps.google.com/?q=16.7844362988079,-96.582200542327996", "🔗 Ver Mapa")</f>
        <v>🔗 Ver Mapa</v>
      </c>
    </row>
    <row r="210" spans="1:12" ht="43.5" x14ac:dyDescent="0.35">
      <c r="A210" s="6" t="s">
        <v>8</v>
      </c>
      <c r="B210" s="6" t="s">
        <v>16</v>
      </c>
      <c r="C210" s="6" t="s">
        <v>77</v>
      </c>
      <c r="D210" s="6" t="s">
        <v>35</v>
      </c>
      <c r="E210" s="6" t="s">
        <v>37</v>
      </c>
      <c r="F210" s="6" t="s">
        <v>78</v>
      </c>
      <c r="G210" s="6" t="s">
        <v>79</v>
      </c>
      <c r="H210" s="6" t="s">
        <v>80</v>
      </c>
      <c r="I210" s="6" t="s">
        <v>63</v>
      </c>
      <c r="J210" s="6">
        <v>16.784472631774001</v>
      </c>
      <c r="K210" s="6">
        <v>-96.584231373015996</v>
      </c>
      <c r="L210" s="6" t="str">
        <f>HYPERLINK("https://maps.google.com/?q=16.7844726317739,-96.584231373016394", "🔗 Ver Mapa")</f>
        <v>🔗 Ver Mapa</v>
      </c>
    </row>
    <row r="211" spans="1:12" ht="43.5" x14ac:dyDescent="0.35">
      <c r="A211" s="5" t="s">
        <v>8</v>
      </c>
      <c r="B211" s="5" t="s">
        <v>16</v>
      </c>
      <c r="C211" s="5" t="s">
        <v>77</v>
      </c>
      <c r="D211" s="5" t="s">
        <v>35</v>
      </c>
      <c r="E211" s="5" t="s">
        <v>37</v>
      </c>
      <c r="F211" s="5" t="s">
        <v>78</v>
      </c>
      <c r="G211" s="5" t="s">
        <v>79</v>
      </c>
      <c r="H211" s="5" t="s">
        <v>80</v>
      </c>
      <c r="I211" s="5" t="s">
        <v>63</v>
      </c>
      <c r="J211" s="5">
        <v>16.784568547748002</v>
      </c>
      <c r="K211" s="5">
        <v>-96.583034542327994</v>
      </c>
      <c r="L211" s="5" t="str">
        <f>HYPERLINK("https://maps.google.com/?q=16.7845685477479,-96.583034542327994", "🔗 Ver Mapa")</f>
        <v>🔗 Ver Mapa</v>
      </c>
    </row>
    <row r="212" spans="1:12" ht="43.5" x14ac:dyDescent="0.35">
      <c r="A212" s="6" t="s">
        <v>8</v>
      </c>
      <c r="B212" s="6" t="s">
        <v>16</v>
      </c>
      <c r="C212" s="6" t="s">
        <v>77</v>
      </c>
      <c r="D212" s="6" t="s">
        <v>35</v>
      </c>
      <c r="E212" s="6" t="s">
        <v>37</v>
      </c>
      <c r="F212" s="6" t="s">
        <v>78</v>
      </c>
      <c r="G212" s="6" t="s">
        <v>79</v>
      </c>
      <c r="H212" s="6" t="s">
        <v>80</v>
      </c>
      <c r="I212" s="6" t="s">
        <v>63</v>
      </c>
      <c r="J212" s="6">
        <v>16.784625628882001</v>
      </c>
      <c r="K212" s="6">
        <v>-96.585815828498994</v>
      </c>
      <c r="L212" s="6" t="str">
        <f>HYPERLINK("https://maps.google.com/?q=16.7846256288819,-96.585815828499307", "🔗 Ver Mapa")</f>
        <v>🔗 Ver Mapa</v>
      </c>
    </row>
    <row r="213" spans="1:12" ht="43.5" x14ac:dyDescent="0.35">
      <c r="A213" s="5" t="s">
        <v>8</v>
      </c>
      <c r="B213" s="5" t="s">
        <v>16</v>
      </c>
      <c r="C213" s="5" t="s">
        <v>77</v>
      </c>
      <c r="D213" s="5" t="s">
        <v>35</v>
      </c>
      <c r="E213" s="5" t="s">
        <v>37</v>
      </c>
      <c r="F213" s="5" t="s">
        <v>78</v>
      </c>
      <c r="G213" s="5" t="s">
        <v>79</v>
      </c>
      <c r="H213" s="5" t="s">
        <v>80</v>
      </c>
      <c r="I213" s="5" t="s">
        <v>63</v>
      </c>
      <c r="J213" s="5">
        <v>16.784948643947999</v>
      </c>
      <c r="K213" s="5">
        <v>-96.584438635582003</v>
      </c>
      <c r="L213" s="5" t="str">
        <f>HYPERLINK("https://maps.google.com/?q=16.7849486439482,-96.584438635582103", "🔗 Ver Mapa")</f>
        <v>🔗 Ver Mapa</v>
      </c>
    </row>
    <row r="214" spans="1:12" ht="43.5" x14ac:dyDescent="0.35">
      <c r="A214" s="6" t="s">
        <v>8</v>
      </c>
      <c r="B214" s="6" t="s">
        <v>16</v>
      </c>
      <c r="C214" s="6" t="s">
        <v>77</v>
      </c>
      <c r="D214" s="6" t="s">
        <v>35</v>
      </c>
      <c r="E214" s="6" t="s">
        <v>37</v>
      </c>
      <c r="F214" s="6" t="s">
        <v>78</v>
      </c>
      <c r="G214" s="6" t="s">
        <v>79</v>
      </c>
      <c r="H214" s="6" t="s">
        <v>80</v>
      </c>
      <c r="I214" s="6" t="s">
        <v>63</v>
      </c>
      <c r="J214" s="6">
        <v>16.784978796219999</v>
      </c>
      <c r="K214" s="6">
        <v>-96.577736425759994</v>
      </c>
      <c r="L214" s="6" t="str">
        <f>HYPERLINK("https://maps.google.com/?q=16.78497879622,-96.577736425760307", "🔗 Ver Mapa")</f>
        <v>🔗 Ver Mapa</v>
      </c>
    </row>
    <row r="215" spans="1:12" ht="43.5" x14ac:dyDescent="0.35">
      <c r="A215" s="5" t="s">
        <v>8</v>
      </c>
      <c r="B215" s="5" t="s">
        <v>16</v>
      </c>
      <c r="C215" s="5" t="s">
        <v>77</v>
      </c>
      <c r="D215" s="5" t="s">
        <v>35</v>
      </c>
      <c r="E215" s="5" t="s">
        <v>37</v>
      </c>
      <c r="F215" s="5" t="s">
        <v>78</v>
      </c>
      <c r="G215" s="5" t="s">
        <v>79</v>
      </c>
      <c r="H215" s="5" t="s">
        <v>80</v>
      </c>
      <c r="I215" s="5" t="s">
        <v>63</v>
      </c>
      <c r="J215" s="5">
        <v>16.784993014310999</v>
      </c>
      <c r="K215" s="5">
        <v>-96.582208983857996</v>
      </c>
      <c r="L215" s="5" t="str">
        <f>HYPERLINK("https://maps.google.com/?q=16.7849930143106,-96.582208983857896", "🔗 Ver Mapa")</f>
        <v>🔗 Ver Mapa</v>
      </c>
    </row>
    <row r="216" spans="1:12" ht="43.5" x14ac:dyDescent="0.35">
      <c r="A216" s="6" t="s">
        <v>8</v>
      </c>
      <c r="B216" s="6" t="s">
        <v>16</v>
      </c>
      <c r="C216" s="6" t="s">
        <v>77</v>
      </c>
      <c r="D216" s="6" t="s">
        <v>35</v>
      </c>
      <c r="E216" s="6" t="s">
        <v>37</v>
      </c>
      <c r="F216" s="6" t="s">
        <v>78</v>
      </c>
      <c r="G216" s="6" t="s">
        <v>79</v>
      </c>
      <c r="H216" s="6" t="s">
        <v>80</v>
      </c>
      <c r="I216" s="6" t="s">
        <v>63</v>
      </c>
      <c r="J216" s="6">
        <v>16.785003854532999</v>
      </c>
      <c r="K216" s="6">
        <v>-96.579658968087998</v>
      </c>
      <c r="L216" s="6" t="str">
        <f>HYPERLINK("https://maps.google.com/?q=16.785003854533,-96.579658968088197", "🔗 Ver Mapa")</f>
        <v>🔗 Ver Mapa</v>
      </c>
    </row>
    <row r="217" spans="1:12" ht="43.5" x14ac:dyDescent="0.35">
      <c r="A217" s="5" t="s">
        <v>8</v>
      </c>
      <c r="B217" s="5" t="s">
        <v>16</v>
      </c>
      <c r="C217" s="5" t="s">
        <v>77</v>
      </c>
      <c r="D217" s="5" t="s">
        <v>35</v>
      </c>
      <c r="E217" s="5" t="s">
        <v>37</v>
      </c>
      <c r="F217" s="5" t="s">
        <v>78</v>
      </c>
      <c r="G217" s="5" t="s">
        <v>79</v>
      </c>
      <c r="H217" s="5" t="s">
        <v>80</v>
      </c>
      <c r="I217" s="5" t="s">
        <v>63</v>
      </c>
      <c r="J217" s="5">
        <v>16.785230586636001</v>
      </c>
      <c r="K217" s="5">
        <v>-96.582895315309997</v>
      </c>
      <c r="L217" s="5" t="str">
        <f>HYPERLINK("https://maps.google.com/?q=16.785230586636,-96.582895315309699", "🔗 Ver Mapa")</f>
        <v>🔗 Ver Mapa</v>
      </c>
    </row>
    <row r="218" spans="1:12" ht="43.5" x14ac:dyDescent="0.35">
      <c r="A218" s="6" t="s">
        <v>8</v>
      </c>
      <c r="B218" s="6" t="s">
        <v>16</v>
      </c>
      <c r="C218" s="6" t="s">
        <v>77</v>
      </c>
      <c r="D218" s="6" t="s">
        <v>35</v>
      </c>
      <c r="E218" s="6" t="s">
        <v>37</v>
      </c>
      <c r="F218" s="6" t="s">
        <v>78</v>
      </c>
      <c r="G218" s="6" t="s">
        <v>79</v>
      </c>
      <c r="H218" s="6" t="s">
        <v>80</v>
      </c>
      <c r="I218" s="6" t="s">
        <v>63</v>
      </c>
      <c r="J218" s="6">
        <v>16.785255012852001</v>
      </c>
      <c r="K218" s="6">
        <v>-96.580601866712001</v>
      </c>
      <c r="L218" s="6" t="str">
        <f>HYPERLINK("https://maps.google.com/?q=16.7852550128516,-96.580601866711504", "🔗 Ver Mapa")</f>
        <v>🔗 Ver Mapa</v>
      </c>
    </row>
    <row r="219" spans="1:12" ht="43.5" x14ac:dyDescent="0.35">
      <c r="A219" s="5" t="s">
        <v>8</v>
      </c>
      <c r="B219" s="5" t="s">
        <v>16</v>
      </c>
      <c r="C219" s="5" t="s">
        <v>77</v>
      </c>
      <c r="D219" s="5" t="s">
        <v>35</v>
      </c>
      <c r="E219" s="5" t="s">
        <v>37</v>
      </c>
      <c r="F219" s="5" t="s">
        <v>78</v>
      </c>
      <c r="G219" s="5" t="s">
        <v>79</v>
      </c>
      <c r="H219" s="5" t="s">
        <v>80</v>
      </c>
      <c r="I219" s="5" t="s">
        <v>63</v>
      </c>
      <c r="J219" s="5">
        <v>16.785749776393001</v>
      </c>
      <c r="K219" s="5">
        <v>-96.581751929895006</v>
      </c>
      <c r="L219" s="5" t="str">
        <f>HYPERLINK("https://maps.google.com/?q=16.7857497763931,-96.581751929894594", "🔗 Ver Mapa")</f>
        <v>🔗 Ver Mapa</v>
      </c>
    </row>
    <row r="220" spans="1:12" ht="43.5" x14ac:dyDescent="0.35">
      <c r="A220" s="6" t="s">
        <v>8</v>
      </c>
      <c r="B220" s="6" t="s">
        <v>16</v>
      </c>
      <c r="C220" s="6" t="s">
        <v>77</v>
      </c>
      <c r="D220" s="6" t="s">
        <v>35</v>
      </c>
      <c r="E220" s="6" t="s">
        <v>37</v>
      </c>
      <c r="F220" s="6" t="s">
        <v>78</v>
      </c>
      <c r="G220" s="6" t="s">
        <v>79</v>
      </c>
      <c r="H220" s="6" t="s">
        <v>80</v>
      </c>
      <c r="I220" s="6" t="s">
        <v>63</v>
      </c>
      <c r="J220" s="6">
        <v>16.785766236632998</v>
      </c>
      <c r="K220" s="6">
        <v>-96.579782741070005</v>
      </c>
      <c r="L220" s="6" t="str">
        <f>HYPERLINK("https://maps.google.com/?q=16.7857662366332,-96.579782741069906", "🔗 Ver Mapa")</f>
        <v>🔗 Ver Mapa</v>
      </c>
    </row>
    <row r="221" spans="1:12" ht="43.5" x14ac:dyDescent="0.35">
      <c r="A221" s="5" t="s">
        <v>8</v>
      </c>
      <c r="B221" s="5" t="s">
        <v>16</v>
      </c>
      <c r="C221" s="5" t="s">
        <v>77</v>
      </c>
      <c r="D221" s="5" t="s">
        <v>35</v>
      </c>
      <c r="E221" s="5" t="s">
        <v>37</v>
      </c>
      <c r="F221" s="5" t="s">
        <v>78</v>
      </c>
      <c r="G221" s="5" t="s">
        <v>79</v>
      </c>
      <c r="H221" s="5" t="s">
        <v>80</v>
      </c>
      <c r="I221" s="5" t="s">
        <v>63</v>
      </c>
      <c r="J221" s="5">
        <v>16.786195761129001</v>
      </c>
      <c r="K221" s="5">
        <v>-96.579774246385995</v>
      </c>
      <c r="L221" s="5" t="str">
        <f>HYPERLINK("https://maps.google.com/?q=16.7861957611289,-96.579774246385995", "🔗 Ver Mapa")</f>
        <v>🔗 Ver Mapa</v>
      </c>
    </row>
    <row r="222" spans="1:12" ht="43.5" x14ac:dyDescent="0.35">
      <c r="A222" s="6" t="s">
        <v>8</v>
      </c>
      <c r="B222" s="6" t="s">
        <v>16</v>
      </c>
      <c r="C222" s="6" t="s">
        <v>77</v>
      </c>
      <c r="D222" s="6" t="s">
        <v>35</v>
      </c>
      <c r="E222" s="6" t="s">
        <v>37</v>
      </c>
      <c r="F222" s="6" t="s">
        <v>78</v>
      </c>
      <c r="G222" s="6" t="s">
        <v>79</v>
      </c>
      <c r="H222" s="6" t="s">
        <v>80</v>
      </c>
      <c r="I222" s="6" t="s">
        <v>63</v>
      </c>
      <c r="J222" s="6">
        <v>16.786253568079999</v>
      </c>
      <c r="K222" s="6">
        <v>-96.579020123838006</v>
      </c>
      <c r="L222" s="6" t="str">
        <f>HYPERLINK("https://maps.google.com/?q=16.7862535680798,-96.579020123838404", "🔗 Ver Mapa")</f>
        <v>🔗 Ver Mapa</v>
      </c>
    </row>
    <row r="223" spans="1:12" ht="43.5" x14ac:dyDescent="0.35">
      <c r="A223" s="5" t="s">
        <v>8</v>
      </c>
      <c r="B223" s="5" t="s">
        <v>16</v>
      </c>
      <c r="C223" s="5" t="s">
        <v>77</v>
      </c>
      <c r="D223" s="5" t="s">
        <v>35</v>
      </c>
      <c r="E223" s="5" t="s">
        <v>37</v>
      </c>
      <c r="F223" s="5" t="s">
        <v>78</v>
      </c>
      <c r="G223" s="5" t="s">
        <v>79</v>
      </c>
      <c r="H223" s="5" t="s">
        <v>80</v>
      </c>
      <c r="I223" s="5" t="s">
        <v>63</v>
      </c>
      <c r="J223" s="5">
        <v>16.786734760857001</v>
      </c>
      <c r="K223" s="5">
        <v>-96.579036625517006</v>
      </c>
      <c r="L223" s="5" t="str">
        <f>HYPERLINK("https://maps.google.com/?q=16.7867347608573,-96.579036625517304", "🔗 Ver Mapa")</f>
        <v>🔗 Ver Mapa</v>
      </c>
    </row>
    <row r="224" spans="1:12" ht="43.5" x14ac:dyDescent="0.35">
      <c r="A224" s="6" t="s">
        <v>8</v>
      </c>
      <c r="B224" s="6" t="s">
        <v>16</v>
      </c>
      <c r="C224" s="6" t="s">
        <v>82</v>
      </c>
      <c r="D224" s="6" t="s">
        <v>35</v>
      </c>
      <c r="E224" s="6" t="s">
        <v>37</v>
      </c>
      <c r="F224" s="6" t="s">
        <v>83</v>
      </c>
      <c r="G224" s="6" t="s">
        <v>84</v>
      </c>
      <c r="H224" s="6" t="s">
        <v>85</v>
      </c>
      <c r="I224" s="6" t="s">
        <v>63</v>
      </c>
      <c r="J224" s="6">
        <v>16.977616472244001</v>
      </c>
      <c r="K224" s="6">
        <v>-97.056509358292004</v>
      </c>
      <c r="L224" s="6" t="str">
        <f>HYPERLINK("https://maps.google.com/?q=16.977616472244,-97.056509358291507", "🔗 Ver Mapa")</f>
        <v>🔗 Ver Mapa</v>
      </c>
    </row>
    <row r="225" spans="1:12" ht="43.5" x14ac:dyDescent="0.35">
      <c r="A225" s="5" t="s">
        <v>8</v>
      </c>
      <c r="B225" s="5" t="s">
        <v>16</v>
      </c>
      <c r="C225" s="5" t="s">
        <v>82</v>
      </c>
      <c r="D225" s="5" t="s">
        <v>35</v>
      </c>
      <c r="E225" s="5" t="s">
        <v>37</v>
      </c>
      <c r="F225" s="5" t="s">
        <v>83</v>
      </c>
      <c r="G225" s="5" t="s">
        <v>84</v>
      </c>
      <c r="H225" s="5" t="s">
        <v>85</v>
      </c>
      <c r="I225" s="5" t="s">
        <v>63</v>
      </c>
      <c r="J225" s="5">
        <v>16.977831605881999</v>
      </c>
      <c r="K225" s="5">
        <v>-97.053793181640998</v>
      </c>
      <c r="L225" s="5" t="str">
        <f>HYPERLINK("https://maps.google.com/?q=16.9778316058825,-97.0537931816406", "🔗 Ver Mapa")</f>
        <v>🔗 Ver Mapa</v>
      </c>
    </row>
    <row r="226" spans="1:12" ht="43.5" x14ac:dyDescent="0.35">
      <c r="A226" s="6" t="s">
        <v>8</v>
      </c>
      <c r="B226" s="6" t="s">
        <v>16</v>
      </c>
      <c r="C226" s="6" t="s">
        <v>82</v>
      </c>
      <c r="D226" s="6" t="s">
        <v>35</v>
      </c>
      <c r="E226" s="6" t="s">
        <v>37</v>
      </c>
      <c r="F226" s="6" t="s">
        <v>83</v>
      </c>
      <c r="G226" s="6" t="s">
        <v>84</v>
      </c>
      <c r="H226" s="6" t="s">
        <v>85</v>
      </c>
      <c r="I226" s="6" t="s">
        <v>63</v>
      </c>
      <c r="J226" s="6">
        <v>16.978029841464998</v>
      </c>
      <c r="K226" s="6">
        <v>-97.055371522268004</v>
      </c>
      <c r="L226" s="6" t="str">
        <f>HYPERLINK("https://maps.google.com/?q=16.9780298414647,-97.055371522268402", "🔗 Ver Mapa")</f>
        <v>🔗 Ver Mapa</v>
      </c>
    </row>
    <row r="227" spans="1:12" ht="43.5" x14ac:dyDescent="0.35">
      <c r="A227" s="5" t="s">
        <v>8</v>
      </c>
      <c r="B227" s="5" t="s">
        <v>16</v>
      </c>
      <c r="C227" s="5" t="s">
        <v>82</v>
      </c>
      <c r="D227" s="5" t="s">
        <v>35</v>
      </c>
      <c r="E227" s="5" t="s">
        <v>37</v>
      </c>
      <c r="F227" s="5" t="s">
        <v>83</v>
      </c>
      <c r="G227" s="5" t="s">
        <v>84</v>
      </c>
      <c r="H227" s="5" t="s">
        <v>85</v>
      </c>
      <c r="I227" s="5" t="s">
        <v>63</v>
      </c>
      <c r="J227" s="5">
        <v>16.978370496787999</v>
      </c>
      <c r="K227" s="5">
        <v>-97.055556423373005</v>
      </c>
      <c r="L227" s="5" t="str">
        <f>HYPERLINK("https://maps.google.com/?q=16.9783704967884,-97.055556423373005", "🔗 Ver Mapa")</f>
        <v>🔗 Ver Mapa</v>
      </c>
    </row>
    <row r="228" spans="1:12" ht="43.5" x14ac:dyDescent="0.35">
      <c r="A228" s="6" t="s">
        <v>8</v>
      </c>
      <c r="B228" s="6" t="s">
        <v>16</v>
      </c>
      <c r="C228" s="6" t="s">
        <v>82</v>
      </c>
      <c r="D228" s="6" t="s">
        <v>35</v>
      </c>
      <c r="E228" s="6" t="s">
        <v>37</v>
      </c>
      <c r="F228" s="6" t="s">
        <v>83</v>
      </c>
      <c r="G228" s="6" t="s">
        <v>84</v>
      </c>
      <c r="H228" s="6" t="s">
        <v>85</v>
      </c>
      <c r="I228" s="6" t="s">
        <v>63</v>
      </c>
      <c r="J228" s="6">
        <v>16.978909741513</v>
      </c>
      <c r="K228" s="6">
        <v>-97.055970752150003</v>
      </c>
      <c r="L228" s="6" t="str">
        <f>HYPERLINK("https://maps.google.com/?q=16.978909741513,-97.055970752149605", "🔗 Ver Mapa")</f>
        <v>🔗 Ver Mapa</v>
      </c>
    </row>
    <row r="229" spans="1:12" ht="43.5" x14ac:dyDescent="0.35">
      <c r="A229" s="5" t="s">
        <v>8</v>
      </c>
      <c r="B229" s="5" t="s">
        <v>16</v>
      </c>
      <c r="C229" s="5" t="s">
        <v>82</v>
      </c>
      <c r="D229" s="5" t="s">
        <v>35</v>
      </c>
      <c r="E229" s="5" t="s">
        <v>37</v>
      </c>
      <c r="F229" s="5" t="s">
        <v>83</v>
      </c>
      <c r="G229" s="5" t="s">
        <v>84</v>
      </c>
      <c r="H229" s="5" t="s">
        <v>85</v>
      </c>
      <c r="I229" s="5" t="s">
        <v>63</v>
      </c>
      <c r="J229" s="5">
        <v>16.979076138400998</v>
      </c>
      <c r="K229" s="5">
        <v>-97.055203320641994</v>
      </c>
      <c r="L229" s="5" t="str">
        <f>HYPERLINK("https://maps.google.com/?q=16.9790761384013,-97.055203320641695", "🔗 Ver Mapa")</f>
        <v>🔗 Ver Mapa</v>
      </c>
    </row>
    <row r="230" spans="1:12" ht="43.5" x14ac:dyDescent="0.35">
      <c r="A230" s="6" t="s">
        <v>8</v>
      </c>
      <c r="B230" s="6" t="s">
        <v>16</v>
      </c>
      <c r="C230" s="6" t="s">
        <v>82</v>
      </c>
      <c r="D230" s="6" t="s">
        <v>35</v>
      </c>
      <c r="E230" s="6" t="s">
        <v>37</v>
      </c>
      <c r="F230" s="6" t="s">
        <v>83</v>
      </c>
      <c r="G230" s="6" t="s">
        <v>84</v>
      </c>
      <c r="H230" s="6" t="s">
        <v>85</v>
      </c>
      <c r="I230" s="6" t="s">
        <v>63</v>
      </c>
      <c r="J230" s="6">
        <v>16.979195149845999</v>
      </c>
      <c r="K230" s="6">
        <v>-97.054535683740994</v>
      </c>
      <c r="L230" s="6" t="str">
        <f>HYPERLINK("https://maps.google.com/?q=16.9791951498456,-97.054535683740596", "🔗 Ver Mapa")</f>
        <v>🔗 Ver Mapa</v>
      </c>
    </row>
    <row r="231" spans="1:12" ht="43.5" x14ac:dyDescent="0.35">
      <c r="A231" s="5" t="s">
        <v>8</v>
      </c>
      <c r="B231" s="5" t="s">
        <v>16</v>
      </c>
      <c r="C231" s="5" t="s">
        <v>82</v>
      </c>
      <c r="D231" s="5" t="s">
        <v>35</v>
      </c>
      <c r="E231" s="5" t="s">
        <v>37</v>
      </c>
      <c r="F231" s="5" t="s">
        <v>83</v>
      </c>
      <c r="G231" s="5" t="s">
        <v>84</v>
      </c>
      <c r="H231" s="5" t="s">
        <v>85</v>
      </c>
      <c r="I231" s="5" t="s">
        <v>63</v>
      </c>
      <c r="J231" s="5">
        <v>16.979273037123999</v>
      </c>
      <c r="K231" s="5">
        <v>-97.055436979999996</v>
      </c>
      <c r="L231" s="5" t="str">
        <f>HYPERLINK("https://maps.google.com/?q=16.9792730371239,-97.055436980000096", "🔗 Ver Mapa")</f>
        <v>🔗 Ver Mapa</v>
      </c>
    </row>
    <row r="232" spans="1:12" ht="43.5" x14ac:dyDescent="0.35">
      <c r="A232" s="6" t="s">
        <v>8</v>
      </c>
      <c r="B232" s="6" t="s">
        <v>16</v>
      </c>
      <c r="C232" s="6" t="s">
        <v>82</v>
      </c>
      <c r="D232" s="6" t="s">
        <v>35</v>
      </c>
      <c r="E232" s="6" t="s">
        <v>37</v>
      </c>
      <c r="F232" s="6" t="s">
        <v>83</v>
      </c>
      <c r="G232" s="6" t="s">
        <v>84</v>
      </c>
      <c r="H232" s="6" t="s">
        <v>85</v>
      </c>
      <c r="I232" s="6" t="s">
        <v>63</v>
      </c>
      <c r="J232" s="6">
        <v>16.979417915930998</v>
      </c>
      <c r="K232" s="6">
        <v>-97.055784023372993</v>
      </c>
      <c r="L232" s="6" t="str">
        <f>HYPERLINK("https://maps.google.com/?q=16.9794179159306,-97.055784023372894", "🔗 Ver Mapa")</f>
        <v>🔗 Ver Mapa</v>
      </c>
    </row>
    <row r="233" spans="1:12" ht="43.5" x14ac:dyDescent="0.35">
      <c r="A233" s="5" t="s">
        <v>8</v>
      </c>
      <c r="B233" s="5" t="s">
        <v>16</v>
      </c>
      <c r="C233" s="5" t="s">
        <v>82</v>
      </c>
      <c r="D233" s="5" t="s">
        <v>35</v>
      </c>
      <c r="E233" s="5" t="s">
        <v>37</v>
      </c>
      <c r="F233" s="5" t="s">
        <v>83</v>
      </c>
      <c r="G233" s="5" t="s">
        <v>84</v>
      </c>
      <c r="H233" s="5" t="s">
        <v>85</v>
      </c>
      <c r="I233" s="5" t="s">
        <v>63</v>
      </c>
      <c r="J233" s="5">
        <v>16.979502802704001</v>
      </c>
      <c r="K233" s="5">
        <v>-97.056380220866998</v>
      </c>
      <c r="L233" s="5" t="str">
        <f>HYPERLINK("https://maps.google.com/?q=16.9795028027036,-97.056380220866899", "🔗 Ver Mapa")</f>
        <v>🔗 Ver Mapa</v>
      </c>
    </row>
    <row r="234" spans="1:12" ht="43.5" x14ac:dyDescent="0.35">
      <c r="A234" s="6" t="s">
        <v>8</v>
      </c>
      <c r="B234" s="6" t="s">
        <v>16</v>
      </c>
      <c r="C234" s="6" t="s">
        <v>82</v>
      </c>
      <c r="D234" s="6" t="s">
        <v>35</v>
      </c>
      <c r="E234" s="6" t="s">
        <v>37</v>
      </c>
      <c r="F234" s="6" t="s">
        <v>83</v>
      </c>
      <c r="G234" s="6" t="s">
        <v>84</v>
      </c>
      <c r="H234" s="6" t="s">
        <v>85</v>
      </c>
      <c r="I234" s="6" t="s">
        <v>63</v>
      </c>
      <c r="J234" s="6">
        <v>16.980315910622</v>
      </c>
      <c r="K234" s="6">
        <v>-97.056776813314002</v>
      </c>
      <c r="L234" s="6" t="str">
        <f>HYPERLINK("https://maps.google.com/?q=16.9803159106218,-97.056776813313704", "🔗 Ver Mapa")</f>
        <v>🔗 Ver Mapa</v>
      </c>
    </row>
    <row r="235" spans="1:12" ht="43.5" x14ac:dyDescent="0.35">
      <c r="A235" s="5" t="s">
        <v>8</v>
      </c>
      <c r="B235" s="5" t="s">
        <v>16</v>
      </c>
      <c r="C235" s="5" t="s">
        <v>86</v>
      </c>
      <c r="D235" s="5" t="s">
        <v>35</v>
      </c>
      <c r="E235" s="5" t="s">
        <v>37</v>
      </c>
      <c r="F235" s="5" t="s">
        <v>83</v>
      </c>
      <c r="G235" s="5" t="s">
        <v>84</v>
      </c>
      <c r="H235" s="5" t="s">
        <v>87</v>
      </c>
      <c r="I235" s="5" t="s">
        <v>63</v>
      </c>
      <c r="J235" s="5">
        <v>17.104366593782999</v>
      </c>
      <c r="K235" s="5">
        <v>-96.966581658894995</v>
      </c>
      <c r="L235" s="5" t="str">
        <f>HYPERLINK("https://maps.google.com/?q=17.1043665937832,-96.966581658895393", "🔗 Ver Mapa")</f>
        <v>🔗 Ver Mapa</v>
      </c>
    </row>
    <row r="236" spans="1:12" ht="43.5" x14ac:dyDescent="0.35">
      <c r="A236" s="6" t="s">
        <v>8</v>
      </c>
      <c r="B236" s="6" t="s">
        <v>16</v>
      </c>
      <c r="C236" s="6" t="s">
        <v>86</v>
      </c>
      <c r="D236" s="6" t="s">
        <v>35</v>
      </c>
      <c r="E236" s="6" t="s">
        <v>37</v>
      </c>
      <c r="F236" s="6" t="s">
        <v>83</v>
      </c>
      <c r="G236" s="6" t="s">
        <v>84</v>
      </c>
      <c r="H236" s="6" t="s">
        <v>87</v>
      </c>
      <c r="I236" s="6" t="s">
        <v>63</v>
      </c>
      <c r="J236" s="6">
        <v>17.105278626924001</v>
      </c>
      <c r="K236" s="6">
        <v>-96.970407674951005</v>
      </c>
      <c r="L236" s="6" t="str">
        <f>HYPERLINK("https://maps.google.com/?q=17.1052786269237,-96.970407674951403", "🔗 Ver Mapa")</f>
        <v>🔗 Ver Mapa</v>
      </c>
    </row>
    <row r="237" spans="1:12" ht="43.5" x14ac:dyDescent="0.35">
      <c r="A237" s="5" t="s">
        <v>8</v>
      </c>
      <c r="B237" s="5" t="s">
        <v>16</v>
      </c>
      <c r="C237" s="5" t="s">
        <v>86</v>
      </c>
      <c r="D237" s="5" t="s">
        <v>35</v>
      </c>
      <c r="E237" s="5" t="s">
        <v>37</v>
      </c>
      <c r="F237" s="5" t="s">
        <v>83</v>
      </c>
      <c r="G237" s="5" t="s">
        <v>84</v>
      </c>
      <c r="H237" s="5" t="s">
        <v>87</v>
      </c>
      <c r="I237" s="5" t="s">
        <v>63</v>
      </c>
      <c r="J237" s="5">
        <v>17.105310959160999</v>
      </c>
      <c r="K237" s="5">
        <v>-96.963686747850005</v>
      </c>
      <c r="L237" s="5" t="str">
        <f>HYPERLINK("https://maps.google.com/?q=17.1053109591611,-96.963686747850403", "🔗 Ver Mapa")</f>
        <v>🔗 Ver Mapa</v>
      </c>
    </row>
    <row r="238" spans="1:12" ht="43.5" x14ac:dyDescent="0.35">
      <c r="A238" s="6" t="s">
        <v>8</v>
      </c>
      <c r="B238" s="6" t="s">
        <v>16</v>
      </c>
      <c r="C238" s="6" t="s">
        <v>86</v>
      </c>
      <c r="D238" s="6" t="s">
        <v>35</v>
      </c>
      <c r="E238" s="6" t="s">
        <v>37</v>
      </c>
      <c r="F238" s="6" t="s">
        <v>83</v>
      </c>
      <c r="G238" s="6" t="s">
        <v>84</v>
      </c>
      <c r="H238" s="6" t="s">
        <v>87</v>
      </c>
      <c r="I238" s="6" t="s">
        <v>63</v>
      </c>
      <c r="J238" s="6">
        <v>17.106218676564001</v>
      </c>
      <c r="K238" s="6">
        <v>-96.965774906746006</v>
      </c>
      <c r="L238" s="6" t="str">
        <f>HYPERLINK("https://maps.google.com/?q=17.1062186765645,-96.965774906745906", "🔗 Ver Mapa")</f>
        <v>🔗 Ver Mapa</v>
      </c>
    </row>
    <row r="239" spans="1:12" ht="43.5" x14ac:dyDescent="0.35">
      <c r="A239" s="5" t="s">
        <v>8</v>
      </c>
      <c r="B239" s="5" t="s">
        <v>16</v>
      </c>
      <c r="C239" s="5" t="s">
        <v>86</v>
      </c>
      <c r="D239" s="5" t="s">
        <v>35</v>
      </c>
      <c r="E239" s="5" t="s">
        <v>37</v>
      </c>
      <c r="F239" s="5" t="s">
        <v>83</v>
      </c>
      <c r="G239" s="5" t="s">
        <v>84</v>
      </c>
      <c r="H239" s="5" t="s">
        <v>87</v>
      </c>
      <c r="I239" s="5" t="s">
        <v>63</v>
      </c>
      <c r="J239" s="5">
        <v>17.106520441132002</v>
      </c>
      <c r="K239" s="5">
        <v>-96.964078619147998</v>
      </c>
      <c r="L239" s="5" t="str">
        <f>HYPERLINK("https://maps.google.com/?q=17.1065204411322,-96.964078619147998", "🔗 Ver Mapa")</f>
        <v>🔗 Ver Mapa</v>
      </c>
    </row>
    <row r="240" spans="1:12" ht="43.5" x14ac:dyDescent="0.35">
      <c r="A240" s="6" t="s">
        <v>8</v>
      </c>
      <c r="B240" s="6" t="s">
        <v>16</v>
      </c>
      <c r="C240" s="6" t="s">
        <v>86</v>
      </c>
      <c r="D240" s="6" t="s">
        <v>35</v>
      </c>
      <c r="E240" s="6" t="s">
        <v>37</v>
      </c>
      <c r="F240" s="6" t="s">
        <v>83</v>
      </c>
      <c r="G240" s="6" t="s">
        <v>84</v>
      </c>
      <c r="H240" s="6" t="s">
        <v>87</v>
      </c>
      <c r="I240" s="6" t="s">
        <v>63</v>
      </c>
      <c r="J240" s="6">
        <v>17.106646057910002</v>
      </c>
      <c r="K240" s="6">
        <v>-96.972504224537005</v>
      </c>
      <c r="L240" s="6" t="str">
        <f>HYPERLINK("https://maps.google.com/?q=17.1066460579097,-96.972504224536905", "🔗 Ver Mapa")</f>
        <v>🔗 Ver Mapa</v>
      </c>
    </row>
    <row r="241" spans="1:12" ht="43.5" x14ac:dyDescent="0.35">
      <c r="A241" s="5" t="s">
        <v>8</v>
      </c>
      <c r="B241" s="5" t="s">
        <v>16</v>
      </c>
      <c r="C241" s="5" t="s">
        <v>86</v>
      </c>
      <c r="D241" s="5" t="s">
        <v>35</v>
      </c>
      <c r="E241" s="5" t="s">
        <v>37</v>
      </c>
      <c r="F241" s="5" t="s">
        <v>83</v>
      </c>
      <c r="G241" s="5" t="s">
        <v>84</v>
      </c>
      <c r="H241" s="5" t="s">
        <v>87</v>
      </c>
      <c r="I241" s="5" t="s">
        <v>63</v>
      </c>
      <c r="J241" s="5">
        <v>17.106734467022999</v>
      </c>
      <c r="K241" s="5">
        <v>-96.967634739955997</v>
      </c>
      <c r="L241" s="5" t="str">
        <f>HYPERLINK("https://maps.google.com/?q=17.1067344670231,-96.967634739955898", "🔗 Ver Mapa")</f>
        <v>🔗 Ver Mapa</v>
      </c>
    </row>
    <row r="242" spans="1:12" ht="43.5" x14ac:dyDescent="0.35">
      <c r="A242" s="6" t="s">
        <v>8</v>
      </c>
      <c r="B242" s="6" t="s">
        <v>16</v>
      </c>
      <c r="C242" s="6" t="s">
        <v>86</v>
      </c>
      <c r="D242" s="6" t="s">
        <v>35</v>
      </c>
      <c r="E242" s="6" t="s">
        <v>37</v>
      </c>
      <c r="F242" s="6" t="s">
        <v>83</v>
      </c>
      <c r="G242" s="6" t="s">
        <v>84</v>
      </c>
      <c r="H242" s="6" t="s">
        <v>87</v>
      </c>
      <c r="I242" s="6" t="s">
        <v>63</v>
      </c>
      <c r="J242" s="6">
        <v>17.107611100943998</v>
      </c>
      <c r="K242" s="6">
        <v>-96.967592458819993</v>
      </c>
      <c r="L242" s="6" t="str">
        <f>HYPERLINK("https://maps.google.com/?q=17.1076111009445,-96.967592458820306", "🔗 Ver Mapa")</f>
        <v>🔗 Ver Mapa</v>
      </c>
    </row>
    <row r="243" spans="1:12" ht="43.5" x14ac:dyDescent="0.35">
      <c r="A243" s="5" t="s">
        <v>8</v>
      </c>
      <c r="B243" s="5" t="s">
        <v>16</v>
      </c>
      <c r="C243" s="5" t="s">
        <v>88</v>
      </c>
      <c r="D243" s="5" t="s">
        <v>35</v>
      </c>
      <c r="E243" s="5" t="s">
        <v>37</v>
      </c>
      <c r="F243" s="5" t="s">
        <v>83</v>
      </c>
      <c r="G243" s="5" t="s">
        <v>84</v>
      </c>
      <c r="H243" s="5" t="s">
        <v>89</v>
      </c>
      <c r="I243" s="5" t="s">
        <v>63</v>
      </c>
      <c r="J243" s="5">
        <v>16.979227653892998</v>
      </c>
      <c r="K243" s="5">
        <v>-97.023339868717002</v>
      </c>
      <c r="L243" s="5" t="str">
        <f>HYPERLINK("https://maps.google.com/?q=16.9792276538926,-97.023339868717102", "🔗 Ver Mapa")</f>
        <v>🔗 Ver Mapa</v>
      </c>
    </row>
    <row r="244" spans="1:12" ht="43.5" x14ac:dyDescent="0.35">
      <c r="A244" s="6" t="s">
        <v>8</v>
      </c>
      <c r="B244" s="6" t="s">
        <v>16</v>
      </c>
      <c r="C244" s="6" t="s">
        <v>88</v>
      </c>
      <c r="D244" s="6" t="s">
        <v>35</v>
      </c>
      <c r="E244" s="6" t="s">
        <v>37</v>
      </c>
      <c r="F244" s="6" t="s">
        <v>83</v>
      </c>
      <c r="G244" s="6" t="s">
        <v>84</v>
      </c>
      <c r="H244" s="6" t="s">
        <v>89</v>
      </c>
      <c r="I244" s="6" t="s">
        <v>63</v>
      </c>
      <c r="J244" s="6">
        <v>16.980685743251001</v>
      </c>
      <c r="K244" s="6">
        <v>-97.022387010000003</v>
      </c>
      <c r="L244" s="6" t="str">
        <f>HYPERLINK("https://maps.google.com/?q=16.9806857432508,-97.022387010000003", "🔗 Ver Mapa")</f>
        <v>🔗 Ver Mapa</v>
      </c>
    </row>
    <row r="245" spans="1:12" ht="43.5" x14ac:dyDescent="0.35">
      <c r="A245" s="5" t="s">
        <v>8</v>
      </c>
      <c r="B245" s="5" t="s">
        <v>16</v>
      </c>
      <c r="C245" s="5" t="s">
        <v>88</v>
      </c>
      <c r="D245" s="5" t="s">
        <v>35</v>
      </c>
      <c r="E245" s="5" t="s">
        <v>37</v>
      </c>
      <c r="F245" s="5" t="s">
        <v>83</v>
      </c>
      <c r="G245" s="5" t="s">
        <v>84</v>
      </c>
      <c r="H245" s="5" t="s">
        <v>89</v>
      </c>
      <c r="I245" s="5" t="s">
        <v>63</v>
      </c>
      <c r="J245" s="5">
        <v>16.981642999999998</v>
      </c>
      <c r="K245" s="5">
        <v>-97.023022999999995</v>
      </c>
      <c r="L245" s="5" t="str">
        <f>HYPERLINK("https://maps.google.com/?q=16.981643,-97.023022999999995", "🔗 Ver Mapa")</f>
        <v>🔗 Ver Mapa</v>
      </c>
    </row>
    <row r="246" spans="1:12" ht="43.5" x14ac:dyDescent="0.35">
      <c r="A246" s="6" t="s">
        <v>8</v>
      </c>
      <c r="B246" s="6" t="s">
        <v>16</v>
      </c>
      <c r="C246" s="6" t="s">
        <v>88</v>
      </c>
      <c r="D246" s="6" t="s">
        <v>35</v>
      </c>
      <c r="E246" s="6" t="s">
        <v>37</v>
      </c>
      <c r="F246" s="6" t="s">
        <v>83</v>
      </c>
      <c r="G246" s="6" t="s">
        <v>84</v>
      </c>
      <c r="H246" s="6" t="s">
        <v>89</v>
      </c>
      <c r="I246" s="6" t="s">
        <v>63</v>
      </c>
      <c r="J246" s="6">
        <v>16.981985668402999</v>
      </c>
      <c r="K246" s="6">
        <v>-97.021909134359007</v>
      </c>
      <c r="L246" s="6" t="str">
        <f>HYPERLINK("https://maps.google.com/?q=16.9819856684026,-97.021909134358594", "🔗 Ver Mapa")</f>
        <v>🔗 Ver Mapa</v>
      </c>
    </row>
    <row r="247" spans="1:12" ht="43.5" x14ac:dyDescent="0.35">
      <c r="A247" s="5" t="s">
        <v>8</v>
      </c>
      <c r="B247" s="5" t="s">
        <v>16</v>
      </c>
      <c r="C247" s="5" t="s">
        <v>88</v>
      </c>
      <c r="D247" s="5" t="s">
        <v>35</v>
      </c>
      <c r="E247" s="5" t="s">
        <v>37</v>
      </c>
      <c r="F247" s="5" t="s">
        <v>83</v>
      </c>
      <c r="G247" s="5" t="s">
        <v>84</v>
      </c>
      <c r="H247" s="5" t="s">
        <v>89</v>
      </c>
      <c r="I247" s="5" t="s">
        <v>63</v>
      </c>
      <c r="J247" s="5">
        <v>16.982187366946</v>
      </c>
      <c r="K247" s="5">
        <v>-97.020439142209</v>
      </c>
      <c r="L247" s="5" t="str">
        <f>HYPERLINK("https://maps.google.com/?q=16.9821873669456,-97.0204391422089", "🔗 Ver Mapa")</f>
        <v>🔗 Ver Mapa</v>
      </c>
    </row>
    <row r="248" spans="1:12" ht="43.5" x14ac:dyDescent="0.35">
      <c r="A248" s="6" t="s">
        <v>8</v>
      </c>
      <c r="B248" s="6" t="s">
        <v>16</v>
      </c>
      <c r="C248" s="6" t="s">
        <v>88</v>
      </c>
      <c r="D248" s="6" t="s">
        <v>35</v>
      </c>
      <c r="E248" s="6" t="s">
        <v>37</v>
      </c>
      <c r="F248" s="6" t="s">
        <v>83</v>
      </c>
      <c r="G248" s="6" t="s">
        <v>84</v>
      </c>
      <c r="H248" s="6" t="s">
        <v>89</v>
      </c>
      <c r="I248" s="6" t="s">
        <v>63</v>
      </c>
      <c r="J248" s="6">
        <v>16.983096213637001</v>
      </c>
      <c r="K248" s="6">
        <v>-97.019685509436002</v>
      </c>
      <c r="L248" s="6" t="str">
        <f>HYPERLINK("https://maps.google.com/?q=16.9830962136367,-97.019685509436002", "🔗 Ver Mapa")</f>
        <v>🔗 Ver Mapa</v>
      </c>
    </row>
    <row r="249" spans="1:12" ht="43.5" x14ac:dyDescent="0.35">
      <c r="A249" s="5" t="s">
        <v>8</v>
      </c>
      <c r="B249" s="5" t="s">
        <v>16</v>
      </c>
      <c r="C249" s="5" t="s">
        <v>88</v>
      </c>
      <c r="D249" s="5" t="s">
        <v>35</v>
      </c>
      <c r="E249" s="5" t="s">
        <v>37</v>
      </c>
      <c r="F249" s="5" t="s">
        <v>83</v>
      </c>
      <c r="G249" s="5" t="s">
        <v>84</v>
      </c>
      <c r="H249" s="5" t="s">
        <v>89</v>
      </c>
      <c r="I249" s="5" t="s">
        <v>63</v>
      </c>
      <c r="J249" s="5">
        <v>16.983098977038001</v>
      </c>
      <c r="K249" s="5">
        <v>-97.021543901222998</v>
      </c>
      <c r="L249" s="5" t="str">
        <f>HYPERLINK("https://maps.google.com/?q=16.983098977038,-97.021543901223396", "🔗 Ver Mapa")</f>
        <v>🔗 Ver Mapa</v>
      </c>
    </row>
    <row r="250" spans="1:12" ht="43.5" x14ac:dyDescent="0.35">
      <c r="A250" s="6" t="s">
        <v>8</v>
      </c>
      <c r="B250" s="6" t="s">
        <v>16</v>
      </c>
      <c r="C250" s="6" t="s">
        <v>88</v>
      </c>
      <c r="D250" s="6" t="s">
        <v>35</v>
      </c>
      <c r="E250" s="6" t="s">
        <v>37</v>
      </c>
      <c r="F250" s="6" t="s">
        <v>83</v>
      </c>
      <c r="G250" s="6" t="s">
        <v>84</v>
      </c>
      <c r="H250" s="6" t="s">
        <v>89</v>
      </c>
      <c r="I250" s="6" t="s">
        <v>63</v>
      </c>
      <c r="J250" s="6">
        <v>16.983714126037</v>
      </c>
      <c r="K250" s="6">
        <v>-97.020677739123002</v>
      </c>
      <c r="L250" s="6" t="str">
        <f>HYPERLINK("https://maps.google.com/?q=16.9837141260366,-97.020677739123201", "🔗 Ver Mapa")</f>
        <v>🔗 Ver Mapa</v>
      </c>
    </row>
    <row r="251" spans="1:12" ht="43.5" x14ac:dyDescent="0.35">
      <c r="A251" s="5" t="s">
        <v>8</v>
      </c>
      <c r="B251" s="5" t="s">
        <v>16</v>
      </c>
      <c r="C251" s="5" t="s">
        <v>88</v>
      </c>
      <c r="D251" s="5" t="s">
        <v>35</v>
      </c>
      <c r="E251" s="5" t="s">
        <v>37</v>
      </c>
      <c r="F251" s="5" t="s">
        <v>83</v>
      </c>
      <c r="G251" s="5" t="s">
        <v>84</v>
      </c>
      <c r="H251" s="5" t="s">
        <v>89</v>
      </c>
      <c r="I251" s="5" t="s">
        <v>63</v>
      </c>
      <c r="J251" s="5">
        <v>16.983862601245999</v>
      </c>
      <c r="K251" s="5">
        <v>-97.018739806143998</v>
      </c>
      <c r="L251" s="5" t="str">
        <f>HYPERLINK("https://maps.google.com/?q=16.9838626012461,-97.018739806144097", "🔗 Ver Mapa")</f>
        <v>🔗 Ver Mapa</v>
      </c>
    </row>
    <row r="252" spans="1:12" ht="43.5" x14ac:dyDescent="0.35">
      <c r="A252" s="6" t="s">
        <v>8</v>
      </c>
      <c r="B252" s="6" t="s">
        <v>16</v>
      </c>
      <c r="C252" s="6" t="s">
        <v>88</v>
      </c>
      <c r="D252" s="6" t="s">
        <v>35</v>
      </c>
      <c r="E252" s="6" t="s">
        <v>37</v>
      </c>
      <c r="F252" s="6" t="s">
        <v>83</v>
      </c>
      <c r="G252" s="6" t="s">
        <v>84</v>
      </c>
      <c r="H252" s="6" t="s">
        <v>89</v>
      </c>
      <c r="I252" s="6" t="s">
        <v>63</v>
      </c>
      <c r="J252" s="6">
        <v>16.984094724519998</v>
      </c>
      <c r="K252" s="6">
        <v>-97.020805128836002</v>
      </c>
      <c r="L252" s="6" t="str">
        <f>HYPERLINK("https://maps.google.com/?q=16.9840947245202,-97.020805128836002", "🔗 Ver Mapa")</f>
        <v>🔗 Ver Mapa</v>
      </c>
    </row>
    <row r="253" spans="1:12" ht="43.5" x14ac:dyDescent="0.35">
      <c r="A253" s="5" t="s">
        <v>8</v>
      </c>
      <c r="B253" s="5" t="s">
        <v>16</v>
      </c>
      <c r="C253" s="5" t="s">
        <v>88</v>
      </c>
      <c r="D253" s="5" t="s">
        <v>35</v>
      </c>
      <c r="E253" s="5" t="s">
        <v>37</v>
      </c>
      <c r="F253" s="5" t="s">
        <v>83</v>
      </c>
      <c r="G253" s="5" t="s">
        <v>84</v>
      </c>
      <c r="H253" s="5" t="s">
        <v>89</v>
      </c>
      <c r="I253" s="5" t="s">
        <v>63</v>
      </c>
      <c r="J253" s="5">
        <v>16.984155654965999</v>
      </c>
      <c r="K253" s="5">
        <v>-97.018227728835996</v>
      </c>
      <c r="L253" s="5" t="str">
        <f>HYPERLINK("https://maps.google.com/?q=16.9841556549661,-97.018227728835996", "🔗 Ver Mapa")</f>
        <v>🔗 Ver Mapa</v>
      </c>
    </row>
    <row r="254" spans="1:12" ht="43.5" x14ac:dyDescent="0.35">
      <c r="A254" s="6" t="s">
        <v>8</v>
      </c>
      <c r="B254" s="6" t="s">
        <v>16</v>
      </c>
      <c r="C254" s="6" t="s">
        <v>90</v>
      </c>
      <c r="D254" s="6" t="s">
        <v>35</v>
      </c>
      <c r="E254" s="6" t="s">
        <v>37</v>
      </c>
      <c r="F254" s="6" t="s">
        <v>83</v>
      </c>
      <c r="G254" s="6" t="s">
        <v>84</v>
      </c>
      <c r="H254" s="6" t="s">
        <v>91</v>
      </c>
      <c r="I254" s="6" t="s">
        <v>63</v>
      </c>
      <c r="J254" s="6">
        <v>16.968289136372999</v>
      </c>
      <c r="K254" s="6">
        <v>-97.031996419999999</v>
      </c>
      <c r="L254" s="6" t="str">
        <f>HYPERLINK("https://maps.google.com/?q=16.9682891363734,-97.031996419999999", "🔗 Ver Mapa")</f>
        <v>🔗 Ver Mapa</v>
      </c>
    </row>
    <row r="255" spans="1:12" ht="43.5" x14ac:dyDescent="0.35">
      <c r="A255" s="5" t="s">
        <v>8</v>
      </c>
      <c r="B255" s="5" t="s">
        <v>16</v>
      </c>
      <c r="C255" s="5" t="s">
        <v>90</v>
      </c>
      <c r="D255" s="5" t="s">
        <v>35</v>
      </c>
      <c r="E255" s="5" t="s">
        <v>37</v>
      </c>
      <c r="F255" s="5" t="s">
        <v>83</v>
      </c>
      <c r="G255" s="5" t="s">
        <v>84</v>
      </c>
      <c r="H255" s="5" t="s">
        <v>91</v>
      </c>
      <c r="I255" s="5" t="s">
        <v>63</v>
      </c>
      <c r="J255" s="5">
        <v>16.968429987261</v>
      </c>
      <c r="K255" s="5">
        <v>-97.031453212209001</v>
      </c>
      <c r="L255" s="5" t="str">
        <f>HYPERLINK("https://maps.google.com/?q=16.9684299872609,-97.031453212209001", "🔗 Ver Mapa")</f>
        <v>🔗 Ver Mapa</v>
      </c>
    </row>
    <row r="256" spans="1:12" ht="43.5" x14ac:dyDescent="0.35">
      <c r="A256" s="6" t="s">
        <v>8</v>
      </c>
      <c r="B256" s="6" t="s">
        <v>16</v>
      </c>
      <c r="C256" s="6" t="s">
        <v>90</v>
      </c>
      <c r="D256" s="6" t="s">
        <v>35</v>
      </c>
      <c r="E256" s="6" t="s">
        <v>37</v>
      </c>
      <c r="F256" s="6" t="s">
        <v>83</v>
      </c>
      <c r="G256" s="6" t="s">
        <v>84</v>
      </c>
      <c r="H256" s="6" t="s">
        <v>91</v>
      </c>
      <c r="I256" s="6" t="s">
        <v>63</v>
      </c>
      <c r="J256" s="6">
        <v>16.968860740962</v>
      </c>
      <c r="K256" s="6">
        <v>-97.030993046627003</v>
      </c>
      <c r="L256" s="6" t="str">
        <f>HYPERLINK("https://maps.google.com/?q=16.968860740962,-97.030993046627003", "🔗 Ver Mapa")</f>
        <v>🔗 Ver Mapa</v>
      </c>
    </row>
    <row r="257" spans="1:12" ht="43.5" x14ac:dyDescent="0.35">
      <c r="A257" s="5" t="s">
        <v>8</v>
      </c>
      <c r="B257" s="5" t="s">
        <v>16</v>
      </c>
      <c r="C257" s="5" t="s">
        <v>90</v>
      </c>
      <c r="D257" s="5" t="s">
        <v>35</v>
      </c>
      <c r="E257" s="5" t="s">
        <v>37</v>
      </c>
      <c r="F257" s="5" t="s">
        <v>83</v>
      </c>
      <c r="G257" s="5" t="s">
        <v>84</v>
      </c>
      <c r="H257" s="5" t="s">
        <v>91</v>
      </c>
      <c r="I257" s="5" t="s">
        <v>63</v>
      </c>
      <c r="J257" s="5">
        <v>16.970056981668002</v>
      </c>
      <c r="K257" s="5">
        <v>-97.031240658895001</v>
      </c>
      <c r="L257" s="5" t="str">
        <f>HYPERLINK("https://maps.google.com/?q=16.9700569816678,-97.031240658895399", "🔗 Ver Mapa")</f>
        <v>🔗 Ver Mapa</v>
      </c>
    </row>
    <row r="258" spans="1:12" ht="43.5" x14ac:dyDescent="0.35">
      <c r="A258" s="6" t="s">
        <v>8</v>
      </c>
      <c r="B258" s="6" t="s">
        <v>16</v>
      </c>
      <c r="C258" s="6" t="s">
        <v>90</v>
      </c>
      <c r="D258" s="6" t="s">
        <v>35</v>
      </c>
      <c r="E258" s="6" t="s">
        <v>37</v>
      </c>
      <c r="F258" s="6" t="s">
        <v>83</v>
      </c>
      <c r="G258" s="6" t="s">
        <v>84</v>
      </c>
      <c r="H258" s="6" t="s">
        <v>91</v>
      </c>
      <c r="I258" s="6" t="s">
        <v>63</v>
      </c>
      <c r="J258" s="6">
        <v>16.970168341933</v>
      </c>
      <c r="K258" s="6">
        <v>-97.035611668241998</v>
      </c>
      <c r="L258" s="6" t="str">
        <f>HYPERLINK("https://maps.google.com/?q=16.9701683419327,-97.0356116682417", "🔗 Ver Mapa")</f>
        <v>🔗 Ver Mapa</v>
      </c>
    </row>
    <row r="259" spans="1:12" ht="43.5" x14ac:dyDescent="0.35">
      <c r="A259" s="5" t="s">
        <v>8</v>
      </c>
      <c r="B259" s="5" t="s">
        <v>16</v>
      </c>
      <c r="C259" s="5" t="s">
        <v>90</v>
      </c>
      <c r="D259" s="5" t="s">
        <v>35</v>
      </c>
      <c r="E259" s="5" t="s">
        <v>37</v>
      </c>
      <c r="F259" s="5" t="s">
        <v>83</v>
      </c>
      <c r="G259" s="5" t="s">
        <v>84</v>
      </c>
      <c r="H259" s="5" t="s">
        <v>91</v>
      </c>
      <c r="I259" s="5" t="s">
        <v>63</v>
      </c>
      <c r="J259" s="5">
        <v>16.970434053980998</v>
      </c>
      <c r="K259" s="5">
        <v>-97.032152096746003</v>
      </c>
      <c r="L259" s="5" t="str">
        <f>HYPERLINK("https://maps.google.com/?q=16.9704340539815,-97.032152096745904", "🔗 Ver Mapa")</f>
        <v>🔗 Ver Mapa</v>
      </c>
    </row>
    <row r="260" spans="1:12" ht="43.5" x14ac:dyDescent="0.35">
      <c r="A260" s="6" t="s">
        <v>8</v>
      </c>
      <c r="B260" s="6" t="s">
        <v>16</v>
      </c>
      <c r="C260" s="6" t="s">
        <v>90</v>
      </c>
      <c r="D260" s="6" t="s">
        <v>35</v>
      </c>
      <c r="E260" s="6" t="s">
        <v>37</v>
      </c>
      <c r="F260" s="6" t="s">
        <v>83</v>
      </c>
      <c r="G260" s="6" t="s">
        <v>84</v>
      </c>
      <c r="H260" s="6" t="s">
        <v>91</v>
      </c>
      <c r="I260" s="6" t="s">
        <v>63</v>
      </c>
      <c r="J260" s="6">
        <v>16.970550082483001</v>
      </c>
      <c r="K260" s="6">
        <v>-97.031382376652004</v>
      </c>
      <c r="L260" s="6" t="str">
        <f>HYPERLINK("https://maps.google.com/?q=16.9705500824829,-97.031382376651806", "🔗 Ver Mapa")</f>
        <v>🔗 Ver Mapa</v>
      </c>
    </row>
    <row r="261" spans="1:12" ht="43.5" x14ac:dyDescent="0.35">
      <c r="A261" s="5" t="s">
        <v>8</v>
      </c>
      <c r="B261" s="5" t="s">
        <v>16</v>
      </c>
      <c r="C261" s="5" t="s">
        <v>90</v>
      </c>
      <c r="D261" s="5" t="s">
        <v>35</v>
      </c>
      <c r="E261" s="5" t="s">
        <v>37</v>
      </c>
      <c r="F261" s="5" t="s">
        <v>83</v>
      </c>
      <c r="G261" s="5" t="s">
        <v>84</v>
      </c>
      <c r="H261" s="5" t="s">
        <v>91</v>
      </c>
      <c r="I261" s="5" t="s">
        <v>63</v>
      </c>
      <c r="J261" s="5">
        <v>16.970550783173</v>
      </c>
      <c r="K261" s="5">
        <v>-97.032500411045007</v>
      </c>
      <c r="L261" s="5" t="str">
        <f>HYPERLINK("https://maps.google.com/?q=16.9705507831726,-97.032500411044893", "🔗 Ver Mapa")</f>
        <v>🔗 Ver Mapa</v>
      </c>
    </row>
    <row r="262" spans="1:12" ht="43.5" x14ac:dyDescent="0.35">
      <c r="A262" s="6" t="s">
        <v>8</v>
      </c>
      <c r="B262" s="6" t="s">
        <v>16</v>
      </c>
      <c r="C262" s="6" t="s">
        <v>90</v>
      </c>
      <c r="D262" s="6" t="s">
        <v>35</v>
      </c>
      <c r="E262" s="6" t="s">
        <v>37</v>
      </c>
      <c r="F262" s="6" t="s">
        <v>83</v>
      </c>
      <c r="G262" s="6" t="s">
        <v>84</v>
      </c>
      <c r="H262" s="6" t="s">
        <v>91</v>
      </c>
      <c r="I262" s="6" t="s">
        <v>63</v>
      </c>
      <c r="J262" s="6">
        <v>16.970774960564999</v>
      </c>
      <c r="K262" s="6">
        <v>-97.033523644181003</v>
      </c>
      <c r="L262" s="6" t="str">
        <f>HYPERLINK("https://maps.google.com/?q=16.9707749605654,-97.033523644180605", "🔗 Ver Mapa")</f>
        <v>🔗 Ver Mapa</v>
      </c>
    </row>
    <row r="263" spans="1:12" ht="43.5" x14ac:dyDescent="0.35">
      <c r="A263" s="5" t="s">
        <v>8</v>
      </c>
      <c r="B263" s="5" t="s">
        <v>16</v>
      </c>
      <c r="C263" s="5" t="s">
        <v>90</v>
      </c>
      <c r="D263" s="5" t="s">
        <v>35</v>
      </c>
      <c r="E263" s="5" t="s">
        <v>37</v>
      </c>
      <c r="F263" s="5" t="s">
        <v>83</v>
      </c>
      <c r="G263" s="5" t="s">
        <v>84</v>
      </c>
      <c r="H263" s="5" t="s">
        <v>91</v>
      </c>
      <c r="I263" s="5" t="s">
        <v>63</v>
      </c>
      <c r="J263" s="5">
        <v>16.970781437292999</v>
      </c>
      <c r="K263" s="5">
        <v>-97.030848644179997</v>
      </c>
      <c r="L263" s="5" t="str">
        <f>HYPERLINK("https://maps.google.com/?q=16.9707814372934,-97.030848644180296", "🔗 Ver Mapa")</f>
        <v>🔗 Ver Mapa</v>
      </c>
    </row>
    <row r="264" spans="1:12" ht="43.5" x14ac:dyDescent="0.35">
      <c r="A264" s="6" t="s">
        <v>8</v>
      </c>
      <c r="B264" s="6" t="s">
        <v>16</v>
      </c>
      <c r="C264" s="6" t="s">
        <v>90</v>
      </c>
      <c r="D264" s="6" t="s">
        <v>35</v>
      </c>
      <c r="E264" s="6" t="s">
        <v>37</v>
      </c>
      <c r="F264" s="6" t="s">
        <v>83</v>
      </c>
      <c r="G264" s="6" t="s">
        <v>84</v>
      </c>
      <c r="H264" s="6" t="s">
        <v>91</v>
      </c>
      <c r="I264" s="6" t="s">
        <v>63</v>
      </c>
      <c r="J264" s="6">
        <v>16.972316739808001</v>
      </c>
      <c r="K264" s="6">
        <v>-97.031521055690007</v>
      </c>
      <c r="L264" s="6" t="str">
        <f>HYPERLINK("https://maps.google.com/?q=16.9723167398079,-97.031521055689595", "🔗 Ver Mapa")</f>
        <v>🔗 Ver Mapa</v>
      </c>
    </row>
    <row r="265" spans="1:12" ht="43.5" x14ac:dyDescent="0.35">
      <c r="A265" s="5" t="s">
        <v>8</v>
      </c>
      <c r="B265" s="5" t="s">
        <v>16</v>
      </c>
      <c r="C265" s="5" t="s">
        <v>90</v>
      </c>
      <c r="D265" s="5" t="s">
        <v>35</v>
      </c>
      <c r="E265" s="5" t="s">
        <v>37</v>
      </c>
      <c r="F265" s="5" t="s">
        <v>83</v>
      </c>
      <c r="G265" s="5" t="s">
        <v>84</v>
      </c>
      <c r="H265" s="5" t="s">
        <v>91</v>
      </c>
      <c r="I265" s="5" t="s">
        <v>63</v>
      </c>
      <c r="J265" s="5">
        <v>16.972355537628999</v>
      </c>
      <c r="K265" s="5">
        <v>-97.032911165675998</v>
      </c>
      <c r="L265" s="5" t="str">
        <f>HYPERLINK("https://maps.google.com/?q=16.9723555376286,-97.032911165675998", "🔗 Ver Mapa")</f>
        <v>🔗 Ver Mapa</v>
      </c>
    </row>
    <row r="266" spans="1:12" ht="43.5" x14ac:dyDescent="0.35">
      <c r="A266" s="6" t="s">
        <v>8</v>
      </c>
      <c r="B266" s="6" t="s">
        <v>16</v>
      </c>
      <c r="C266" s="6" t="s">
        <v>92</v>
      </c>
      <c r="D266" s="6" t="s">
        <v>35</v>
      </c>
      <c r="E266" s="6" t="s">
        <v>37</v>
      </c>
      <c r="F266" s="6" t="s">
        <v>83</v>
      </c>
      <c r="G266" s="6" t="s">
        <v>84</v>
      </c>
      <c r="H266" s="6" t="s">
        <v>93</v>
      </c>
      <c r="I266" s="6" t="s">
        <v>63</v>
      </c>
      <c r="J266" s="6">
        <v>17.118961058943</v>
      </c>
      <c r="K266" s="6">
        <v>-96.974171423279003</v>
      </c>
      <c r="L266" s="6" t="str">
        <f>HYPERLINK("https://maps.google.com/?q=17.1189610589429,-96.974171423278705", "🔗 Ver Mapa")</f>
        <v>🔗 Ver Mapa</v>
      </c>
    </row>
    <row r="267" spans="1:12" ht="43.5" x14ac:dyDescent="0.35">
      <c r="A267" s="5" t="s">
        <v>8</v>
      </c>
      <c r="B267" s="5" t="s">
        <v>16</v>
      </c>
      <c r="C267" s="5" t="s">
        <v>92</v>
      </c>
      <c r="D267" s="5" t="s">
        <v>35</v>
      </c>
      <c r="E267" s="5" t="s">
        <v>37</v>
      </c>
      <c r="F267" s="5" t="s">
        <v>83</v>
      </c>
      <c r="G267" s="5" t="s">
        <v>84</v>
      </c>
      <c r="H267" s="5" t="s">
        <v>93</v>
      </c>
      <c r="I267" s="5" t="s">
        <v>63</v>
      </c>
      <c r="J267" s="5">
        <v>17.120148876009001</v>
      </c>
      <c r="K267" s="5">
        <v>-96.974786635582007</v>
      </c>
      <c r="L267" s="5" t="str">
        <f>HYPERLINK("https://maps.google.com/?q=17.1201488760089,-96.974786635581907", "🔗 Ver Mapa")</f>
        <v>🔗 Ver Mapa</v>
      </c>
    </row>
    <row r="268" spans="1:12" ht="43.5" x14ac:dyDescent="0.35">
      <c r="A268" s="6" t="s">
        <v>8</v>
      </c>
      <c r="B268" s="6" t="s">
        <v>16</v>
      </c>
      <c r="C268" s="6" t="s">
        <v>92</v>
      </c>
      <c r="D268" s="6" t="s">
        <v>35</v>
      </c>
      <c r="E268" s="6" t="s">
        <v>37</v>
      </c>
      <c r="F268" s="6" t="s">
        <v>83</v>
      </c>
      <c r="G268" s="6" t="s">
        <v>84</v>
      </c>
      <c r="H268" s="6" t="s">
        <v>93</v>
      </c>
      <c r="I268" s="6" t="s">
        <v>63</v>
      </c>
      <c r="J268" s="6">
        <v>17.120646850804999</v>
      </c>
      <c r="K268" s="6">
        <v>-96.973827999999997</v>
      </c>
      <c r="L268" s="6" t="str">
        <f>HYPERLINK("https://maps.google.com/?q=17.1206468508053,-96.973827999999898", "🔗 Ver Mapa")</f>
        <v>🔗 Ver Mapa</v>
      </c>
    </row>
    <row r="269" spans="1:12" ht="43.5" x14ac:dyDescent="0.35">
      <c r="A269" s="5" t="s">
        <v>8</v>
      </c>
      <c r="B269" s="5" t="s">
        <v>16</v>
      </c>
      <c r="C269" s="5" t="s">
        <v>92</v>
      </c>
      <c r="D269" s="5" t="s">
        <v>35</v>
      </c>
      <c r="E269" s="5" t="s">
        <v>37</v>
      </c>
      <c r="F269" s="5" t="s">
        <v>83</v>
      </c>
      <c r="G269" s="5" t="s">
        <v>84</v>
      </c>
      <c r="H269" s="5" t="s">
        <v>93</v>
      </c>
      <c r="I269" s="5" t="s">
        <v>63</v>
      </c>
      <c r="J269" s="5">
        <v>17.120666062744</v>
      </c>
      <c r="K269" s="5">
        <v>-96.973597320525002</v>
      </c>
      <c r="L269" s="5" t="str">
        <f>HYPERLINK("https://maps.google.com/?q=17.1206660627443,-96.9735973205254", "🔗 Ver Mapa")</f>
        <v>🔗 Ver Mapa</v>
      </c>
    </row>
    <row r="270" spans="1:12" ht="43.5" x14ac:dyDescent="0.35">
      <c r="A270" s="6" t="s">
        <v>8</v>
      </c>
      <c r="B270" s="6" t="s">
        <v>16</v>
      </c>
      <c r="C270" s="6" t="s">
        <v>92</v>
      </c>
      <c r="D270" s="6" t="s">
        <v>35</v>
      </c>
      <c r="E270" s="6" t="s">
        <v>37</v>
      </c>
      <c r="F270" s="6" t="s">
        <v>83</v>
      </c>
      <c r="G270" s="6" t="s">
        <v>84</v>
      </c>
      <c r="H270" s="6" t="s">
        <v>93</v>
      </c>
      <c r="I270" s="6" t="s">
        <v>63</v>
      </c>
      <c r="J270" s="6">
        <v>17.1230172665</v>
      </c>
      <c r="K270" s="6">
        <v>-96.972775434358994</v>
      </c>
      <c r="L270" s="6" t="str">
        <f>HYPERLINK("https://maps.google.com/?q=17.1230172664998,-96.972775434358596", "🔗 Ver Mapa")</f>
        <v>🔗 Ver Mapa</v>
      </c>
    </row>
    <row r="271" spans="1:12" ht="43.5" x14ac:dyDescent="0.35">
      <c r="A271" s="5" t="s">
        <v>8</v>
      </c>
      <c r="B271" s="5" t="s">
        <v>16</v>
      </c>
      <c r="C271" s="5" t="s">
        <v>92</v>
      </c>
      <c r="D271" s="5" t="s">
        <v>35</v>
      </c>
      <c r="E271" s="5" t="s">
        <v>37</v>
      </c>
      <c r="F271" s="5" t="s">
        <v>83</v>
      </c>
      <c r="G271" s="5" t="s">
        <v>84</v>
      </c>
      <c r="H271" s="5" t="s">
        <v>93</v>
      </c>
      <c r="I271" s="5" t="s">
        <v>63</v>
      </c>
      <c r="J271" s="5">
        <v>17.123182721069</v>
      </c>
      <c r="K271" s="5">
        <v>-96.973616457671994</v>
      </c>
      <c r="L271" s="5" t="str">
        <f>HYPERLINK("https://maps.google.com/?q=17.1231827210688,-96.973616457672094", "🔗 Ver Mapa")</f>
        <v>🔗 Ver Mapa</v>
      </c>
    </row>
    <row r="272" spans="1:12" ht="43.5" x14ac:dyDescent="0.35">
      <c r="A272" s="6" t="s">
        <v>8</v>
      </c>
      <c r="B272" s="6" t="s">
        <v>16</v>
      </c>
      <c r="C272" s="6" t="s">
        <v>92</v>
      </c>
      <c r="D272" s="6" t="s">
        <v>35</v>
      </c>
      <c r="E272" s="6" t="s">
        <v>37</v>
      </c>
      <c r="F272" s="6" t="s">
        <v>83</v>
      </c>
      <c r="G272" s="6" t="s">
        <v>84</v>
      </c>
      <c r="H272" s="6" t="s">
        <v>93</v>
      </c>
      <c r="I272" s="6" t="s">
        <v>63</v>
      </c>
      <c r="J272" s="6">
        <v>17.123199919409998</v>
      </c>
      <c r="K272" s="6">
        <v>-96.973057684417995</v>
      </c>
      <c r="L272" s="6" t="str">
        <f>HYPERLINK("https://maps.google.com/?q=17.1231999194105,-96.973057684418094", "🔗 Ver Mapa")</f>
        <v>🔗 Ver Mapa</v>
      </c>
    </row>
    <row r="273" spans="1:12" ht="43.5" x14ac:dyDescent="0.35">
      <c r="A273" s="5" t="s">
        <v>8</v>
      </c>
      <c r="B273" s="5" t="s">
        <v>16</v>
      </c>
      <c r="C273" s="5" t="s">
        <v>92</v>
      </c>
      <c r="D273" s="5" t="s">
        <v>35</v>
      </c>
      <c r="E273" s="5" t="s">
        <v>37</v>
      </c>
      <c r="F273" s="5" t="s">
        <v>83</v>
      </c>
      <c r="G273" s="5" t="s">
        <v>84</v>
      </c>
      <c r="H273" s="5" t="s">
        <v>93</v>
      </c>
      <c r="I273" s="5" t="s">
        <v>63</v>
      </c>
      <c r="J273" s="5">
        <v>17.124237208966999</v>
      </c>
      <c r="K273" s="5">
        <v>-96.971839040763996</v>
      </c>
      <c r="L273" s="5" t="str">
        <f>HYPERLINK("https://maps.google.com/?q=17.1242372089673,-96.971839040763896", "🔗 Ver Mapa")</f>
        <v>🔗 Ver Mapa</v>
      </c>
    </row>
    <row r="274" spans="1:12" ht="43.5" x14ac:dyDescent="0.35">
      <c r="A274" s="6" t="s">
        <v>8</v>
      </c>
      <c r="B274" s="6" t="s">
        <v>16</v>
      </c>
      <c r="C274" s="6" t="s">
        <v>92</v>
      </c>
      <c r="D274" s="6" t="s">
        <v>35</v>
      </c>
      <c r="E274" s="6" t="s">
        <v>37</v>
      </c>
      <c r="F274" s="6" t="s">
        <v>83</v>
      </c>
      <c r="G274" s="6" t="s">
        <v>84</v>
      </c>
      <c r="H274" s="6" t="s">
        <v>93</v>
      </c>
      <c r="I274" s="6" t="s">
        <v>63</v>
      </c>
      <c r="J274" s="6">
        <v>17.125111410955</v>
      </c>
      <c r="K274" s="6">
        <v>-96.970250658894997</v>
      </c>
      <c r="L274" s="6" t="str">
        <f>HYPERLINK("https://maps.google.com/?q=17.1251114109548,-96.970250658895495", "🔗 Ver Mapa")</f>
        <v>🔗 Ver Mapa</v>
      </c>
    </row>
    <row r="275" spans="1:12" ht="43.5" x14ac:dyDescent="0.35">
      <c r="A275" s="5" t="s">
        <v>8</v>
      </c>
      <c r="B275" s="5" t="s">
        <v>16</v>
      </c>
      <c r="C275" s="5" t="s">
        <v>92</v>
      </c>
      <c r="D275" s="5" t="s">
        <v>35</v>
      </c>
      <c r="E275" s="5" t="s">
        <v>37</v>
      </c>
      <c r="F275" s="5" t="s">
        <v>83</v>
      </c>
      <c r="G275" s="5" t="s">
        <v>84</v>
      </c>
      <c r="H275" s="5" t="s">
        <v>93</v>
      </c>
      <c r="I275" s="5" t="s">
        <v>63</v>
      </c>
      <c r="J275" s="5">
        <v>17.125621467952001</v>
      </c>
      <c r="K275" s="5">
        <v>-96.971470201222999</v>
      </c>
      <c r="L275" s="5" t="str">
        <f>HYPERLINK("https://maps.google.com/?q=17.1256214679516,-96.971470201223298", "🔗 Ver Mapa")</f>
        <v>🔗 Ver Mapa</v>
      </c>
    </row>
    <row r="276" spans="1:12" ht="43.5" x14ac:dyDescent="0.35">
      <c r="A276" s="6" t="s">
        <v>8</v>
      </c>
      <c r="B276" s="6" t="s">
        <v>16</v>
      </c>
      <c r="C276" s="6" t="s">
        <v>94</v>
      </c>
      <c r="D276" s="6" t="s">
        <v>35</v>
      </c>
      <c r="E276" s="6" t="s">
        <v>37</v>
      </c>
      <c r="F276" s="6" t="s">
        <v>83</v>
      </c>
      <c r="G276" s="6" t="s">
        <v>84</v>
      </c>
      <c r="H276" s="6" t="s">
        <v>95</v>
      </c>
      <c r="I276" s="6" t="s">
        <v>63</v>
      </c>
      <c r="J276" s="6">
        <v>17.064311002718</v>
      </c>
      <c r="K276" s="6">
        <v>-96.964218682208994</v>
      </c>
      <c r="L276" s="6" t="str">
        <f>HYPERLINK("https://maps.google.com/?q=17.0643110027177,-96.964218682208994", "🔗 Ver Mapa")</f>
        <v>🔗 Ver Mapa</v>
      </c>
    </row>
    <row r="277" spans="1:12" ht="43.5" x14ac:dyDescent="0.35">
      <c r="A277" s="5" t="s">
        <v>8</v>
      </c>
      <c r="B277" s="5" t="s">
        <v>16</v>
      </c>
      <c r="C277" s="5" t="s">
        <v>94</v>
      </c>
      <c r="D277" s="5" t="s">
        <v>35</v>
      </c>
      <c r="E277" s="5" t="s">
        <v>37</v>
      </c>
      <c r="F277" s="5" t="s">
        <v>83</v>
      </c>
      <c r="G277" s="5" t="s">
        <v>84</v>
      </c>
      <c r="H277" s="5" t="s">
        <v>95</v>
      </c>
      <c r="I277" s="5" t="s">
        <v>63</v>
      </c>
      <c r="J277" s="5">
        <v>17.065725930934001</v>
      </c>
      <c r="K277" s="5">
        <v>-96.964140462328004</v>
      </c>
      <c r="L277" s="5" t="str">
        <f>HYPERLINK("https://maps.google.com/?q=17.065725930934,-96.964140462327904", "🔗 Ver Mapa")</f>
        <v>🔗 Ver Mapa</v>
      </c>
    </row>
    <row r="278" spans="1:12" ht="43.5" x14ac:dyDescent="0.35">
      <c r="A278" s="6" t="s">
        <v>8</v>
      </c>
      <c r="B278" s="6" t="s">
        <v>16</v>
      </c>
      <c r="C278" s="6" t="s">
        <v>94</v>
      </c>
      <c r="D278" s="6" t="s">
        <v>35</v>
      </c>
      <c r="E278" s="6" t="s">
        <v>37</v>
      </c>
      <c r="F278" s="6" t="s">
        <v>83</v>
      </c>
      <c r="G278" s="6" t="s">
        <v>84</v>
      </c>
      <c r="H278" s="6" t="s">
        <v>95</v>
      </c>
      <c r="I278" s="6" t="s">
        <v>63</v>
      </c>
      <c r="J278" s="6">
        <v>17.065954879138001</v>
      </c>
      <c r="K278" s="6">
        <v>-96.969781493373006</v>
      </c>
      <c r="L278" s="6" t="str">
        <f>HYPERLINK("https://maps.google.com/?q=17.0659548791377,-96.969781493372906", "🔗 Ver Mapa")</f>
        <v>🔗 Ver Mapa</v>
      </c>
    </row>
    <row r="279" spans="1:12" ht="43.5" x14ac:dyDescent="0.35">
      <c r="A279" s="5" t="s">
        <v>8</v>
      </c>
      <c r="B279" s="5" t="s">
        <v>16</v>
      </c>
      <c r="C279" s="5" t="s">
        <v>94</v>
      </c>
      <c r="D279" s="5" t="s">
        <v>35</v>
      </c>
      <c r="E279" s="5" t="s">
        <v>37</v>
      </c>
      <c r="F279" s="5" t="s">
        <v>83</v>
      </c>
      <c r="G279" s="5" t="s">
        <v>84</v>
      </c>
      <c r="H279" s="5" t="s">
        <v>95</v>
      </c>
      <c r="I279" s="5" t="s">
        <v>63</v>
      </c>
      <c r="J279" s="5">
        <v>17.066353182221999</v>
      </c>
      <c r="K279" s="5">
        <v>-96.964360519013994</v>
      </c>
      <c r="L279" s="5" t="str">
        <f>HYPERLINK("https://maps.google.com/?q=17.0663531822219,-96.964360519014306", "🔗 Ver Mapa")</f>
        <v>🔗 Ver Mapa</v>
      </c>
    </row>
    <row r="280" spans="1:12" ht="43.5" x14ac:dyDescent="0.35">
      <c r="A280" s="6" t="s">
        <v>8</v>
      </c>
      <c r="B280" s="6" t="s">
        <v>16</v>
      </c>
      <c r="C280" s="6" t="s">
        <v>94</v>
      </c>
      <c r="D280" s="6" t="s">
        <v>35</v>
      </c>
      <c r="E280" s="6" t="s">
        <v>37</v>
      </c>
      <c r="F280" s="6" t="s">
        <v>83</v>
      </c>
      <c r="G280" s="6" t="s">
        <v>84</v>
      </c>
      <c r="H280" s="6" t="s">
        <v>95</v>
      </c>
      <c r="I280" s="6" t="s">
        <v>63</v>
      </c>
      <c r="J280" s="6">
        <v>17.066477692717999</v>
      </c>
      <c r="K280" s="6">
        <v>-96.966032542267996</v>
      </c>
      <c r="L280" s="6" t="str">
        <f>HYPERLINK("https://maps.google.com/?q=17.0664776927181,-96.966032542268394", "🔗 Ver Mapa")</f>
        <v>🔗 Ver Mapa</v>
      </c>
    </row>
    <row r="281" spans="1:12" ht="43.5" x14ac:dyDescent="0.35">
      <c r="A281" s="5" t="s">
        <v>8</v>
      </c>
      <c r="B281" s="5" t="s">
        <v>16</v>
      </c>
      <c r="C281" s="5" t="s">
        <v>94</v>
      </c>
      <c r="D281" s="5" t="s">
        <v>35</v>
      </c>
      <c r="E281" s="5" t="s">
        <v>37</v>
      </c>
      <c r="F281" s="5" t="s">
        <v>83</v>
      </c>
      <c r="G281" s="5" t="s">
        <v>84</v>
      </c>
      <c r="H281" s="5" t="s">
        <v>95</v>
      </c>
      <c r="I281" s="5" t="s">
        <v>63</v>
      </c>
      <c r="J281" s="5">
        <v>17.066558079587999</v>
      </c>
      <c r="K281" s="5">
        <v>-96.969745953373007</v>
      </c>
      <c r="L281" s="5" t="str">
        <f>HYPERLINK("https://maps.google.com/?q=17.0665580795884,-96.969745953373007", "🔗 Ver Mapa")</f>
        <v>🔗 Ver Mapa</v>
      </c>
    </row>
    <row r="282" spans="1:12" ht="43.5" x14ac:dyDescent="0.35">
      <c r="A282" s="6" t="s">
        <v>8</v>
      </c>
      <c r="B282" s="6" t="s">
        <v>16</v>
      </c>
      <c r="C282" s="6" t="s">
        <v>94</v>
      </c>
      <c r="D282" s="6" t="s">
        <v>35</v>
      </c>
      <c r="E282" s="6" t="s">
        <v>37</v>
      </c>
      <c r="F282" s="6" t="s">
        <v>83</v>
      </c>
      <c r="G282" s="6" t="s">
        <v>84</v>
      </c>
      <c r="H282" s="6" t="s">
        <v>95</v>
      </c>
      <c r="I282" s="6" t="s">
        <v>63</v>
      </c>
      <c r="J282" s="6">
        <v>17.067031002718</v>
      </c>
      <c r="K282" s="6">
        <v>-96.967713341104002</v>
      </c>
      <c r="L282" s="6" t="str">
        <f>HYPERLINK("https://maps.google.com/?q=17.0670310027182,-96.967713341104499", "🔗 Ver Mapa")</f>
        <v>🔗 Ver Mapa</v>
      </c>
    </row>
    <row r="283" spans="1:12" ht="43.5" x14ac:dyDescent="0.35">
      <c r="A283" s="5" t="s">
        <v>8</v>
      </c>
      <c r="B283" s="5" t="s">
        <v>16</v>
      </c>
      <c r="C283" s="5" t="s">
        <v>94</v>
      </c>
      <c r="D283" s="5" t="s">
        <v>35</v>
      </c>
      <c r="E283" s="5" t="s">
        <v>37</v>
      </c>
      <c r="F283" s="5" t="s">
        <v>83</v>
      </c>
      <c r="G283" s="5" t="s">
        <v>84</v>
      </c>
      <c r="H283" s="5" t="s">
        <v>95</v>
      </c>
      <c r="I283" s="5" t="s">
        <v>63</v>
      </c>
      <c r="J283" s="5">
        <v>17.067253103694998</v>
      </c>
      <c r="K283" s="5">
        <v>-96.960816173325</v>
      </c>
      <c r="L283" s="5" t="str">
        <f>HYPERLINK("https://maps.google.com/?q=17.0672531036952,-96.960816173324503", "🔗 Ver Mapa")</f>
        <v>🔗 Ver Mapa</v>
      </c>
    </row>
    <row r="284" spans="1:12" ht="43.5" x14ac:dyDescent="0.35">
      <c r="A284" s="6" t="s">
        <v>8</v>
      </c>
      <c r="B284" s="6" t="s">
        <v>16</v>
      </c>
      <c r="C284" s="6" t="s">
        <v>94</v>
      </c>
      <c r="D284" s="6" t="s">
        <v>35</v>
      </c>
      <c r="E284" s="6" t="s">
        <v>37</v>
      </c>
      <c r="F284" s="6" t="s">
        <v>83</v>
      </c>
      <c r="G284" s="6" t="s">
        <v>84</v>
      </c>
      <c r="H284" s="6" t="s">
        <v>95</v>
      </c>
      <c r="I284" s="6" t="s">
        <v>63</v>
      </c>
      <c r="J284" s="6">
        <v>17.067341182290001</v>
      </c>
      <c r="K284" s="6">
        <v>-96.960384317790997</v>
      </c>
      <c r="L284" s="6" t="str">
        <f>HYPERLINK("https://maps.google.com/?q=17.06734118229,-96.960384317791096", "🔗 Ver Mapa")</f>
        <v>🔗 Ver Mapa</v>
      </c>
    </row>
    <row r="285" spans="1:12" ht="43.5" x14ac:dyDescent="0.35">
      <c r="A285" s="5" t="s">
        <v>8</v>
      </c>
      <c r="B285" s="5" t="s">
        <v>16</v>
      </c>
      <c r="C285" s="5" t="s">
        <v>96</v>
      </c>
      <c r="D285" s="5" t="s">
        <v>35</v>
      </c>
      <c r="E285" s="5" t="s">
        <v>38</v>
      </c>
      <c r="F285" s="5" t="s">
        <v>97</v>
      </c>
      <c r="G285" s="5" t="s">
        <v>98</v>
      </c>
      <c r="H285" s="5" t="s">
        <v>99</v>
      </c>
      <c r="I285" s="5" t="s">
        <v>63</v>
      </c>
      <c r="J285" s="5">
        <v>16.612225432346001</v>
      </c>
      <c r="K285" s="5">
        <v>-97.786787186747006</v>
      </c>
      <c r="L285" s="5" t="str">
        <f>HYPERLINK("https://maps.google.com/?q=16.6122254323457,-97.786787186747404", "🔗 Ver Mapa")</f>
        <v>🔗 Ver Mapa</v>
      </c>
    </row>
    <row r="286" spans="1:12" ht="43.5" x14ac:dyDescent="0.35">
      <c r="A286" s="6" t="s">
        <v>8</v>
      </c>
      <c r="B286" s="6" t="s">
        <v>16</v>
      </c>
      <c r="C286" s="6" t="s">
        <v>96</v>
      </c>
      <c r="D286" s="6" t="s">
        <v>35</v>
      </c>
      <c r="E286" s="6" t="s">
        <v>38</v>
      </c>
      <c r="F286" s="6" t="s">
        <v>97</v>
      </c>
      <c r="G286" s="6" t="s">
        <v>98</v>
      </c>
      <c r="H286" s="6" t="s">
        <v>99</v>
      </c>
      <c r="I286" s="6" t="s">
        <v>63</v>
      </c>
      <c r="J286" s="6">
        <v>16.612354147219001</v>
      </c>
      <c r="K286" s="6">
        <v>-97.786193728835997</v>
      </c>
      <c r="L286" s="6" t="str">
        <f>HYPERLINK("https://maps.google.com/?q=16.6123541472194,-97.786193728836196", "🔗 Ver Mapa")</f>
        <v>🔗 Ver Mapa</v>
      </c>
    </row>
    <row r="287" spans="1:12" ht="43.5" x14ac:dyDescent="0.35">
      <c r="A287" s="5" t="s">
        <v>8</v>
      </c>
      <c r="B287" s="5" t="s">
        <v>16</v>
      </c>
      <c r="C287" s="5" t="s">
        <v>96</v>
      </c>
      <c r="D287" s="5" t="s">
        <v>35</v>
      </c>
      <c r="E287" s="5" t="s">
        <v>38</v>
      </c>
      <c r="F287" s="5" t="s">
        <v>97</v>
      </c>
      <c r="G287" s="5" t="s">
        <v>98</v>
      </c>
      <c r="H287" s="5" t="s">
        <v>99</v>
      </c>
      <c r="I287" s="5" t="s">
        <v>63</v>
      </c>
      <c r="J287" s="5">
        <v>16.613036295998999</v>
      </c>
      <c r="K287" s="5">
        <v>-97.789042635582007</v>
      </c>
      <c r="L287" s="5" t="str">
        <f>HYPERLINK("https://maps.google.com/?q=16.6130362959987,-97.789042635582106", "🔗 Ver Mapa")</f>
        <v>🔗 Ver Mapa</v>
      </c>
    </row>
    <row r="288" spans="1:12" ht="43.5" x14ac:dyDescent="0.35">
      <c r="A288" s="6" t="s">
        <v>8</v>
      </c>
      <c r="B288" s="6" t="s">
        <v>16</v>
      </c>
      <c r="C288" s="6" t="s">
        <v>96</v>
      </c>
      <c r="D288" s="6" t="s">
        <v>35</v>
      </c>
      <c r="E288" s="6" t="s">
        <v>38</v>
      </c>
      <c r="F288" s="6" t="s">
        <v>97</v>
      </c>
      <c r="G288" s="6" t="s">
        <v>98</v>
      </c>
      <c r="H288" s="6" t="s">
        <v>99</v>
      </c>
      <c r="I288" s="6" t="s">
        <v>63</v>
      </c>
      <c r="J288" s="6">
        <v>16.613267709190001</v>
      </c>
      <c r="K288" s="6">
        <v>-97.784130457672006</v>
      </c>
      <c r="L288" s="6" t="str">
        <f>HYPERLINK("https://maps.google.com/?q=16.61326770919,-97.784130457672006", "🔗 Ver Mapa")</f>
        <v>🔗 Ver Mapa</v>
      </c>
    </row>
    <row r="289" spans="1:12" ht="43.5" x14ac:dyDescent="0.35">
      <c r="A289" s="5" t="s">
        <v>8</v>
      </c>
      <c r="B289" s="5" t="s">
        <v>16</v>
      </c>
      <c r="C289" s="5" t="s">
        <v>96</v>
      </c>
      <c r="D289" s="5" t="s">
        <v>35</v>
      </c>
      <c r="E289" s="5" t="s">
        <v>38</v>
      </c>
      <c r="F289" s="5" t="s">
        <v>97</v>
      </c>
      <c r="G289" s="5" t="s">
        <v>98</v>
      </c>
      <c r="H289" s="5" t="s">
        <v>99</v>
      </c>
      <c r="I289" s="5" t="s">
        <v>63</v>
      </c>
      <c r="J289" s="5">
        <v>16.613345437391001</v>
      </c>
      <c r="K289" s="5">
        <v>-97.784598076058003</v>
      </c>
      <c r="L289" s="5" t="str">
        <f>HYPERLINK("https://maps.google.com/?q=16.613345437391,-97.784598076058103", "🔗 Ver Mapa")</f>
        <v>🔗 Ver Mapa</v>
      </c>
    </row>
    <row r="290" spans="1:12" ht="43.5" x14ac:dyDescent="0.35">
      <c r="A290" s="6" t="s">
        <v>8</v>
      </c>
      <c r="B290" s="6" t="s">
        <v>16</v>
      </c>
      <c r="C290" s="6" t="s">
        <v>96</v>
      </c>
      <c r="D290" s="6" t="s">
        <v>35</v>
      </c>
      <c r="E290" s="6" t="s">
        <v>38</v>
      </c>
      <c r="F290" s="6" t="s">
        <v>97</v>
      </c>
      <c r="G290" s="6" t="s">
        <v>98</v>
      </c>
      <c r="H290" s="6" t="s">
        <v>99</v>
      </c>
      <c r="I290" s="6" t="s">
        <v>63</v>
      </c>
      <c r="J290" s="6">
        <v>16.613676998439001</v>
      </c>
      <c r="K290" s="6">
        <v>-97.784716093254005</v>
      </c>
      <c r="L290" s="6" t="str">
        <f>HYPERLINK("https://maps.google.com/?q=16.6136769984386,-97.784716093254204", "🔗 Ver Mapa")</f>
        <v>🔗 Ver Mapa</v>
      </c>
    </row>
    <row r="291" spans="1:12" ht="43.5" x14ac:dyDescent="0.35">
      <c r="A291" s="5" t="s">
        <v>8</v>
      </c>
      <c r="B291" s="5" t="s">
        <v>16</v>
      </c>
      <c r="C291" s="5" t="s">
        <v>96</v>
      </c>
      <c r="D291" s="5" t="s">
        <v>35</v>
      </c>
      <c r="E291" s="5" t="s">
        <v>38</v>
      </c>
      <c r="F291" s="5" t="s">
        <v>97</v>
      </c>
      <c r="G291" s="5" t="s">
        <v>98</v>
      </c>
      <c r="H291" s="5" t="s">
        <v>99</v>
      </c>
      <c r="I291" s="5" t="s">
        <v>63</v>
      </c>
      <c r="J291" s="5">
        <v>16.613683725004002</v>
      </c>
      <c r="K291" s="5">
        <v>-97.787881105487998</v>
      </c>
      <c r="L291" s="5" t="str">
        <f>HYPERLINK("https://maps.google.com/?q=16.6136837250035,-97.787881105487898", "🔗 Ver Mapa")</f>
        <v>🔗 Ver Mapa</v>
      </c>
    </row>
    <row r="292" spans="1:12" ht="43.5" x14ac:dyDescent="0.35">
      <c r="A292" s="6" t="s">
        <v>8</v>
      </c>
      <c r="B292" s="6" t="s">
        <v>16</v>
      </c>
      <c r="C292" s="6" t="s">
        <v>96</v>
      </c>
      <c r="D292" s="6" t="s">
        <v>35</v>
      </c>
      <c r="E292" s="6" t="s">
        <v>38</v>
      </c>
      <c r="F292" s="6" t="s">
        <v>97</v>
      </c>
      <c r="G292" s="6" t="s">
        <v>98</v>
      </c>
      <c r="H292" s="6" t="s">
        <v>99</v>
      </c>
      <c r="I292" s="6" t="s">
        <v>63</v>
      </c>
      <c r="J292" s="6">
        <v>16.613813432366999</v>
      </c>
      <c r="K292" s="6">
        <v>-97.789098011657003</v>
      </c>
      <c r="L292" s="6" t="str">
        <f>HYPERLINK("https://maps.google.com/?q=16.6138134323671,-97.789098011657103", "🔗 Ver Mapa")</f>
        <v>🔗 Ver Mapa</v>
      </c>
    </row>
    <row r="293" spans="1:12" ht="43.5" x14ac:dyDescent="0.35">
      <c r="A293" s="5" t="s">
        <v>8</v>
      </c>
      <c r="B293" s="5" t="s">
        <v>16</v>
      </c>
      <c r="C293" s="5" t="s">
        <v>96</v>
      </c>
      <c r="D293" s="5" t="s">
        <v>35</v>
      </c>
      <c r="E293" s="5" t="s">
        <v>38</v>
      </c>
      <c r="F293" s="5" t="s">
        <v>97</v>
      </c>
      <c r="G293" s="5" t="s">
        <v>98</v>
      </c>
      <c r="H293" s="5" t="s">
        <v>99</v>
      </c>
      <c r="I293" s="5" t="s">
        <v>63</v>
      </c>
      <c r="J293" s="5">
        <v>16.614082383692001</v>
      </c>
      <c r="K293" s="5">
        <v>-97.789021177910001</v>
      </c>
      <c r="L293" s="5" t="str">
        <f>HYPERLINK("https://maps.google.com/?q=16.6140823836918,-97.789021177910001", "🔗 Ver Mapa")</f>
        <v>🔗 Ver Mapa</v>
      </c>
    </row>
    <row r="294" spans="1:12" ht="43.5" x14ac:dyDescent="0.35">
      <c r="A294" s="6" t="s">
        <v>8</v>
      </c>
      <c r="B294" s="6" t="s">
        <v>16</v>
      </c>
      <c r="C294" s="6" t="s">
        <v>96</v>
      </c>
      <c r="D294" s="6" t="s">
        <v>35</v>
      </c>
      <c r="E294" s="6" t="s">
        <v>38</v>
      </c>
      <c r="F294" s="6" t="s">
        <v>97</v>
      </c>
      <c r="G294" s="6" t="s">
        <v>98</v>
      </c>
      <c r="H294" s="6" t="s">
        <v>99</v>
      </c>
      <c r="I294" s="6" t="s">
        <v>63</v>
      </c>
      <c r="J294" s="6">
        <v>16.614270581911001</v>
      </c>
      <c r="K294" s="6">
        <v>-97.788856337295996</v>
      </c>
      <c r="L294" s="6" t="str">
        <f>HYPERLINK("https://maps.google.com/?q=16.6142705819107,-97.788856337295897", "🔗 Ver Mapa")</f>
        <v>🔗 Ver Mapa</v>
      </c>
    </row>
    <row r="295" spans="1:12" ht="43.5" x14ac:dyDescent="0.35">
      <c r="A295" s="5" t="s">
        <v>8</v>
      </c>
      <c r="B295" s="5" t="s">
        <v>16</v>
      </c>
      <c r="C295" s="5" t="s">
        <v>96</v>
      </c>
      <c r="D295" s="5" t="s">
        <v>35</v>
      </c>
      <c r="E295" s="5" t="s">
        <v>38</v>
      </c>
      <c r="F295" s="5" t="s">
        <v>97</v>
      </c>
      <c r="G295" s="5" t="s">
        <v>98</v>
      </c>
      <c r="H295" s="5" t="s">
        <v>99</v>
      </c>
      <c r="I295" s="5" t="s">
        <v>63</v>
      </c>
      <c r="J295" s="5">
        <v>16.614481287718</v>
      </c>
      <c r="K295" s="5">
        <v>-97.789282813491994</v>
      </c>
      <c r="L295" s="5" t="str">
        <f>HYPERLINK("https://maps.google.com/?q=16.6144812877178,-97.789282813491894", "🔗 Ver Mapa")</f>
        <v>🔗 Ver Mapa</v>
      </c>
    </row>
    <row r="296" spans="1:12" ht="43.5" x14ac:dyDescent="0.35">
      <c r="A296" s="6" t="s">
        <v>8</v>
      </c>
      <c r="B296" s="6" t="s">
        <v>16</v>
      </c>
      <c r="C296" s="6" t="s">
        <v>96</v>
      </c>
      <c r="D296" s="6" t="s">
        <v>35</v>
      </c>
      <c r="E296" s="6" t="s">
        <v>38</v>
      </c>
      <c r="F296" s="6" t="s">
        <v>97</v>
      </c>
      <c r="G296" s="6" t="s">
        <v>98</v>
      </c>
      <c r="H296" s="6" t="s">
        <v>99</v>
      </c>
      <c r="I296" s="6" t="s">
        <v>63</v>
      </c>
      <c r="J296" s="6">
        <v>16.614990410164001</v>
      </c>
      <c r="K296" s="6">
        <v>-97.788317888568997</v>
      </c>
      <c r="L296" s="6" t="str">
        <f>HYPERLINK("https://maps.google.com/?q=16.6149904101636,-97.788317888568599", "🔗 Ver Mapa")</f>
        <v>🔗 Ver Mapa</v>
      </c>
    </row>
    <row r="297" spans="1:12" ht="43.5" x14ac:dyDescent="0.35">
      <c r="A297" s="5" t="s">
        <v>8</v>
      </c>
      <c r="B297" s="5" t="s">
        <v>16</v>
      </c>
      <c r="C297" s="5" t="s">
        <v>96</v>
      </c>
      <c r="D297" s="5" t="s">
        <v>35</v>
      </c>
      <c r="E297" s="5" t="s">
        <v>38</v>
      </c>
      <c r="F297" s="5" t="s">
        <v>97</v>
      </c>
      <c r="G297" s="5" t="s">
        <v>98</v>
      </c>
      <c r="H297" s="5" t="s">
        <v>99</v>
      </c>
      <c r="I297" s="5" t="s">
        <v>63</v>
      </c>
      <c r="J297" s="5">
        <v>16.615445024077001</v>
      </c>
      <c r="K297" s="5">
        <v>-97.787684814472001</v>
      </c>
      <c r="L297" s="5" t="str">
        <f>HYPERLINK("https://maps.google.com/?q=16.6154450240766,-97.787684814472499", "🔗 Ver Mapa")</f>
        <v>🔗 Ver Mapa</v>
      </c>
    </row>
    <row r="298" spans="1:12" ht="43.5" x14ac:dyDescent="0.35">
      <c r="A298" s="6" t="s">
        <v>8</v>
      </c>
      <c r="B298" s="6" t="s">
        <v>16</v>
      </c>
      <c r="C298" s="6" t="s">
        <v>96</v>
      </c>
      <c r="D298" s="6" t="s">
        <v>35</v>
      </c>
      <c r="E298" s="6" t="s">
        <v>38</v>
      </c>
      <c r="F298" s="6" t="s">
        <v>97</v>
      </c>
      <c r="G298" s="6" t="s">
        <v>98</v>
      </c>
      <c r="H298" s="6" t="s">
        <v>99</v>
      </c>
      <c r="I298" s="6" t="s">
        <v>63</v>
      </c>
      <c r="J298" s="6">
        <v>16.615547138777998</v>
      </c>
      <c r="K298" s="6">
        <v>-97.788071542327998</v>
      </c>
      <c r="L298" s="6" t="str">
        <f>HYPERLINK("https://maps.google.com/?q=16.6155471387785,-97.788071542327899", "🔗 Ver Mapa")</f>
        <v>🔗 Ver Mapa</v>
      </c>
    </row>
    <row r="299" spans="1:12" ht="43.5" x14ac:dyDescent="0.35">
      <c r="A299" s="5" t="s">
        <v>8</v>
      </c>
      <c r="B299" s="5" t="s">
        <v>16</v>
      </c>
      <c r="C299" s="5" t="s">
        <v>96</v>
      </c>
      <c r="D299" s="5" t="s">
        <v>35</v>
      </c>
      <c r="E299" s="5" t="s">
        <v>38</v>
      </c>
      <c r="F299" s="5" t="s">
        <v>97</v>
      </c>
      <c r="G299" s="5" t="s">
        <v>98</v>
      </c>
      <c r="H299" s="5" t="s">
        <v>99</v>
      </c>
      <c r="I299" s="5" t="s">
        <v>63</v>
      </c>
      <c r="J299" s="5">
        <v>16.615558428137</v>
      </c>
      <c r="K299" s="5">
        <v>-97.786909728835994</v>
      </c>
      <c r="L299" s="5" t="str">
        <f>HYPERLINK("https://maps.google.com/?q=16.6155584281374,-97.786909728836093", "🔗 Ver Mapa")</f>
        <v>🔗 Ver Mapa</v>
      </c>
    </row>
    <row r="300" spans="1:12" ht="43.5" x14ac:dyDescent="0.35">
      <c r="A300" s="6" t="s">
        <v>8</v>
      </c>
      <c r="B300" s="6" t="s">
        <v>16</v>
      </c>
      <c r="C300" s="6" t="s">
        <v>96</v>
      </c>
      <c r="D300" s="6" t="s">
        <v>35</v>
      </c>
      <c r="E300" s="6" t="s">
        <v>38</v>
      </c>
      <c r="F300" s="6" t="s">
        <v>97</v>
      </c>
      <c r="G300" s="6" t="s">
        <v>98</v>
      </c>
      <c r="H300" s="6" t="s">
        <v>99</v>
      </c>
      <c r="I300" s="6" t="s">
        <v>63</v>
      </c>
      <c r="J300" s="6">
        <v>16.615634889264001</v>
      </c>
      <c r="K300" s="6">
        <v>-97.788226190836994</v>
      </c>
      <c r="L300" s="6" t="str">
        <f>HYPERLINK("https://maps.google.com/?q=16.6156348892641,-97.788226190836596", "🔗 Ver Mapa")</f>
        <v>🔗 Ver Mapa</v>
      </c>
    </row>
    <row r="301" spans="1:12" ht="43.5" x14ac:dyDescent="0.35">
      <c r="A301" s="5" t="s">
        <v>8</v>
      </c>
      <c r="B301" s="5" t="s">
        <v>16</v>
      </c>
      <c r="C301" s="5" t="s">
        <v>96</v>
      </c>
      <c r="D301" s="5" t="s">
        <v>35</v>
      </c>
      <c r="E301" s="5" t="s">
        <v>38</v>
      </c>
      <c r="F301" s="5" t="s">
        <v>97</v>
      </c>
      <c r="G301" s="5" t="s">
        <v>98</v>
      </c>
      <c r="H301" s="5" t="s">
        <v>99</v>
      </c>
      <c r="I301" s="5" t="s">
        <v>63</v>
      </c>
      <c r="J301" s="5">
        <v>16.615758904667999</v>
      </c>
      <c r="K301" s="5">
        <v>-97.788830190490003</v>
      </c>
      <c r="L301" s="5" t="str">
        <f>HYPERLINK("https://maps.google.com/?q=16.6157589046681,-97.788830190490103", "🔗 Ver Mapa")</f>
        <v>🔗 Ver Mapa</v>
      </c>
    </row>
    <row r="302" spans="1:12" ht="43.5" x14ac:dyDescent="0.35">
      <c r="A302" s="6" t="s">
        <v>8</v>
      </c>
      <c r="B302" s="6" t="s">
        <v>16</v>
      </c>
      <c r="C302" s="6" t="s">
        <v>96</v>
      </c>
      <c r="D302" s="6" t="s">
        <v>35</v>
      </c>
      <c r="E302" s="6" t="s">
        <v>38</v>
      </c>
      <c r="F302" s="6" t="s">
        <v>97</v>
      </c>
      <c r="G302" s="6" t="s">
        <v>98</v>
      </c>
      <c r="H302" s="6" t="s">
        <v>99</v>
      </c>
      <c r="I302" s="6" t="s">
        <v>63</v>
      </c>
      <c r="J302" s="6">
        <v>16.615908717500002</v>
      </c>
      <c r="K302" s="6">
        <v>-97.788273480986007</v>
      </c>
      <c r="L302" s="6" t="str">
        <f>HYPERLINK("https://maps.google.com/?q=16.6159087174999,-97.788273480985595", "🔗 Ver Mapa")</f>
        <v>🔗 Ver Mapa</v>
      </c>
    </row>
    <row r="303" spans="1:12" ht="43.5" x14ac:dyDescent="0.35">
      <c r="A303" s="5" t="s">
        <v>8</v>
      </c>
      <c r="B303" s="5" t="s">
        <v>16</v>
      </c>
      <c r="C303" s="5" t="s">
        <v>96</v>
      </c>
      <c r="D303" s="5" t="s">
        <v>35</v>
      </c>
      <c r="E303" s="5" t="s">
        <v>38</v>
      </c>
      <c r="F303" s="5" t="s">
        <v>97</v>
      </c>
      <c r="G303" s="5" t="s">
        <v>98</v>
      </c>
      <c r="H303" s="5" t="s">
        <v>99</v>
      </c>
      <c r="I303" s="5" t="s">
        <v>63</v>
      </c>
      <c r="J303" s="5">
        <v>16.615937991422999</v>
      </c>
      <c r="K303" s="5">
        <v>-97.788408174908994</v>
      </c>
      <c r="L303" s="5" t="str">
        <f>HYPERLINK("https://maps.google.com/?q=16.6159379914232,-97.788408174908795", "🔗 Ver Mapa")</f>
        <v>🔗 Ver Mapa</v>
      </c>
    </row>
    <row r="304" spans="1:12" ht="43.5" x14ac:dyDescent="0.35">
      <c r="A304" s="6" t="s">
        <v>8</v>
      </c>
      <c r="B304" s="6" t="s">
        <v>16</v>
      </c>
      <c r="C304" s="6" t="s">
        <v>96</v>
      </c>
      <c r="D304" s="6" t="s">
        <v>35</v>
      </c>
      <c r="E304" s="6" t="s">
        <v>38</v>
      </c>
      <c r="F304" s="6" t="s">
        <v>97</v>
      </c>
      <c r="G304" s="6" t="s">
        <v>98</v>
      </c>
      <c r="H304" s="6" t="s">
        <v>99</v>
      </c>
      <c r="I304" s="6" t="s">
        <v>63</v>
      </c>
      <c r="J304" s="6">
        <v>16.616358253390999</v>
      </c>
      <c r="K304" s="6">
        <v>-97.789544766865006</v>
      </c>
      <c r="L304" s="6" t="str">
        <f>HYPERLINK("https://maps.google.com/?q=16.6163582533914,-97.789544766864793", "🔗 Ver Mapa")</f>
        <v>🔗 Ver Mapa</v>
      </c>
    </row>
    <row r="305" spans="1:12" ht="43.5" x14ac:dyDescent="0.35">
      <c r="A305" s="5" t="s">
        <v>8</v>
      </c>
      <c r="B305" s="5" t="s">
        <v>16</v>
      </c>
      <c r="C305" s="5" t="s">
        <v>96</v>
      </c>
      <c r="D305" s="5" t="s">
        <v>35</v>
      </c>
      <c r="E305" s="5" t="s">
        <v>38</v>
      </c>
      <c r="F305" s="5" t="s">
        <v>97</v>
      </c>
      <c r="G305" s="5" t="s">
        <v>98</v>
      </c>
      <c r="H305" s="5" t="s">
        <v>99</v>
      </c>
      <c r="I305" s="5" t="s">
        <v>63</v>
      </c>
      <c r="J305" s="5">
        <v>16.616599361692</v>
      </c>
      <c r="K305" s="5">
        <v>-97.791056423971995</v>
      </c>
      <c r="L305" s="5" t="str">
        <f>HYPERLINK("https://maps.google.com/?q=16.6165993616916,-97.791056423971796", "🔗 Ver Mapa")</f>
        <v>🔗 Ver Mapa</v>
      </c>
    </row>
    <row r="306" spans="1:12" ht="43.5" x14ac:dyDescent="0.35">
      <c r="A306" s="6" t="s">
        <v>8</v>
      </c>
      <c r="B306" s="6" t="s">
        <v>16</v>
      </c>
      <c r="C306" s="6" t="s">
        <v>96</v>
      </c>
      <c r="D306" s="6" t="s">
        <v>35</v>
      </c>
      <c r="E306" s="6" t="s">
        <v>38</v>
      </c>
      <c r="F306" s="6" t="s">
        <v>97</v>
      </c>
      <c r="G306" s="6" t="s">
        <v>98</v>
      </c>
      <c r="H306" s="6" t="s">
        <v>99</v>
      </c>
      <c r="I306" s="6" t="s">
        <v>63</v>
      </c>
      <c r="J306" s="6">
        <v>16.616785386412001</v>
      </c>
      <c r="K306" s="6">
        <v>-97.791342006462997</v>
      </c>
      <c r="L306" s="6" t="str">
        <f>HYPERLINK("https://maps.google.com/?q=16.616785386412,-97.791342006463196", "🔗 Ver Mapa")</f>
        <v>🔗 Ver Mapa</v>
      </c>
    </row>
    <row r="307" spans="1:12" ht="43.5" x14ac:dyDescent="0.35">
      <c r="A307" s="5" t="s">
        <v>8</v>
      </c>
      <c r="B307" s="5" t="s">
        <v>16</v>
      </c>
      <c r="C307" s="5" t="s">
        <v>96</v>
      </c>
      <c r="D307" s="5" t="s">
        <v>35</v>
      </c>
      <c r="E307" s="5" t="s">
        <v>38</v>
      </c>
      <c r="F307" s="5" t="s">
        <v>97</v>
      </c>
      <c r="G307" s="5" t="s">
        <v>98</v>
      </c>
      <c r="H307" s="5" t="s">
        <v>99</v>
      </c>
      <c r="I307" s="5" t="s">
        <v>63</v>
      </c>
      <c r="J307" s="5">
        <v>16.616921713189999</v>
      </c>
      <c r="K307" s="5">
        <v>-97.789556743551003</v>
      </c>
      <c r="L307" s="5" t="str">
        <f>HYPERLINK("https://maps.google.com/?q=16.6169217131896,-97.789556743551302", "🔗 Ver Mapa")</f>
        <v>🔗 Ver Mapa</v>
      </c>
    </row>
    <row r="308" spans="1:12" ht="43.5" x14ac:dyDescent="0.35">
      <c r="A308" s="6" t="s">
        <v>8</v>
      </c>
      <c r="B308" s="6" t="s">
        <v>16</v>
      </c>
      <c r="C308" s="6" t="s">
        <v>96</v>
      </c>
      <c r="D308" s="6" t="s">
        <v>35</v>
      </c>
      <c r="E308" s="6" t="s">
        <v>38</v>
      </c>
      <c r="F308" s="6" t="s">
        <v>97</v>
      </c>
      <c r="G308" s="6" t="s">
        <v>98</v>
      </c>
      <c r="H308" s="6" t="s">
        <v>99</v>
      </c>
      <c r="I308" s="6" t="s">
        <v>63</v>
      </c>
      <c r="J308" s="6">
        <v>16.617000147313</v>
      </c>
      <c r="K308" s="6">
        <v>-97.789646247850001</v>
      </c>
      <c r="L308" s="6" t="str">
        <f>HYPERLINK("https://maps.google.com/?q=16.6170001473134,-97.789646247850399", "🔗 Ver Mapa")</f>
        <v>🔗 Ver Mapa</v>
      </c>
    </row>
    <row r="309" spans="1:12" ht="43.5" x14ac:dyDescent="0.35">
      <c r="A309" s="5" t="s">
        <v>8</v>
      </c>
      <c r="B309" s="5" t="s">
        <v>16</v>
      </c>
      <c r="C309" s="5" t="s">
        <v>96</v>
      </c>
      <c r="D309" s="5" t="s">
        <v>35</v>
      </c>
      <c r="E309" s="5" t="s">
        <v>38</v>
      </c>
      <c r="F309" s="5" t="s">
        <v>97</v>
      </c>
      <c r="G309" s="5" t="s">
        <v>98</v>
      </c>
      <c r="H309" s="5" t="s">
        <v>99</v>
      </c>
      <c r="I309" s="5" t="s">
        <v>63</v>
      </c>
      <c r="J309" s="5">
        <v>16.617072059752999</v>
      </c>
      <c r="K309" s="5">
        <v>-97.791385665359002</v>
      </c>
      <c r="L309" s="5" t="str">
        <f>HYPERLINK("https://maps.google.com/?q=16.6170720597527,-97.791385665359002", "🔗 Ver Mapa")</f>
        <v>🔗 Ver Mapa</v>
      </c>
    </row>
    <row r="310" spans="1:12" ht="43.5" x14ac:dyDescent="0.35">
      <c r="A310" s="6" t="s">
        <v>8</v>
      </c>
      <c r="B310" s="6" t="s">
        <v>16</v>
      </c>
      <c r="C310" s="6" t="s">
        <v>96</v>
      </c>
      <c r="D310" s="6" t="s">
        <v>35</v>
      </c>
      <c r="E310" s="6" t="s">
        <v>38</v>
      </c>
      <c r="F310" s="6" t="s">
        <v>97</v>
      </c>
      <c r="G310" s="6" t="s">
        <v>98</v>
      </c>
      <c r="H310" s="6" t="s">
        <v>99</v>
      </c>
      <c r="I310" s="6" t="s">
        <v>63</v>
      </c>
      <c r="J310" s="6">
        <v>16.617087717507999</v>
      </c>
      <c r="K310" s="6">
        <v>-97.792125635581996</v>
      </c>
      <c r="L310" s="6" t="str">
        <f>HYPERLINK("https://maps.google.com/?q=16.617087717508,-97.792125635581996", "🔗 Ver Mapa")</f>
        <v>🔗 Ver Mapa</v>
      </c>
    </row>
    <row r="311" spans="1:12" ht="43.5" x14ac:dyDescent="0.35">
      <c r="A311" s="5" t="s">
        <v>8</v>
      </c>
      <c r="B311" s="5" t="s">
        <v>16</v>
      </c>
      <c r="C311" s="5" t="s">
        <v>96</v>
      </c>
      <c r="D311" s="5" t="s">
        <v>35</v>
      </c>
      <c r="E311" s="5" t="s">
        <v>38</v>
      </c>
      <c r="F311" s="5" t="s">
        <v>97</v>
      </c>
      <c r="G311" s="5" t="s">
        <v>98</v>
      </c>
      <c r="H311" s="5" t="s">
        <v>99</v>
      </c>
      <c r="I311" s="5" t="s">
        <v>63</v>
      </c>
      <c r="J311" s="5">
        <v>16.617759862237001</v>
      </c>
      <c r="K311" s="5">
        <v>-97.789561682208998</v>
      </c>
      <c r="L311" s="5" t="str">
        <f>HYPERLINK("https://maps.google.com/?q=16.6177598622369,-97.789561682208998", "🔗 Ver Mapa")</f>
        <v>🔗 Ver Mapa</v>
      </c>
    </row>
    <row r="312" spans="1:12" ht="43.5" x14ac:dyDescent="0.35">
      <c r="A312" s="6" t="s">
        <v>8</v>
      </c>
      <c r="B312" s="6" t="s">
        <v>16</v>
      </c>
      <c r="C312" s="6" t="s">
        <v>96</v>
      </c>
      <c r="D312" s="6" t="s">
        <v>35</v>
      </c>
      <c r="E312" s="6" t="s">
        <v>38</v>
      </c>
      <c r="F312" s="6" t="s">
        <v>97</v>
      </c>
      <c r="G312" s="6" t="s">
        <v>98</v>
      </c>
      <c r="H312" s="6" t="s">
        <v>99</v>
      </c>
      <c r="I312" s="6" t="s">
        <v>63</v>
      </c>
      <c r="J312" s="6">
        <v>16.618177142960999</v>
      </c>
      <c r="K312" s="6">
        <v>-97.789265976685996</v>
      </c>
      <c r="L312" s="6" t="str">
        <f>HYPERLINK("https://maps.google.com/?q=16.618177142961,-97.789265976686494", "🔗 Ver Mapa")</f>
        <v>🔗 Ver Mapa</v>
      </c>
    </row>
    <row r="313" spans="1:12" ht="43.5" x14ac:dyDescent="0.35">
      <c r="A313" s="5" t="s">
        <v>8</v>
      </c>
      <c r="B313" s="5" t="s">
        <v>16</v>
      </c>
      <c r="C313" s="5" t="s">
        <v>96</v>
      </c>
      <c r="D313" s="5" t="s">
        <v>35</v>
      </c>
      <c r="E313" s="5" t="s">
        <v>38</v>
      </c>
      <c r="F313" s="5" t="s">
        <v>97</v>
      </c>
      <c r="G313" s="5" t="s">
        <v>98</v>
      </c>
      <c r="H313" s="5" t="s">
        <v>99</v>
      </c>
      <c r="I313" s="5" t="s">
        <v>63</v>
      </c>
      <c r="J313" s="5">
        <v>16.618193006982001</v>
      </c>
      <c r="K313" s="5">
        <v>-97.791776107969</v>
      </c>
      <c r="L313" s="5" t="str">
        <f>HYPERLINK("https://maps.google.com/?q=16.6181930069817,-97.791776107969298", "🔗 Ver Mapa")</f>
        <v>🔗 Ver Mapa</v>
      </c>
    </row>
    <row r="314" spans="1:12" ht="43.5" x14ac:dyDescent="0.35">
      <c r="A314" s="6" t="s">
        <v>8</v>
      </c>
      <c r="B314" s="6" t="s">
        <v>16</v>
      </c>
      <c r="C314" s="6" t="s">
        <v>96</v>
      </c>
      <c r="D314" s="6" t="s">
        <v>35</v>
      </c>
      <c r="E314" s="6" t="s">
        <v>38</v>
      </c>
      <c r="F314" s="6" t="s">
        <v>97</v>
      </c>
      <c r="G314" s="6" t="s">
        <v>98</v>
      </c>
      <c r="H314" s="6" t="s">
        <v>99</v>
      </c>
      <c r="I314" s="6" t="s">
        <v>63</v>
      </c>
      <c r="J314" s="6">
        <v>16.618237247515999</v>
      </c>
      <c r="K314" s="6">
        <v>-97.787574618836004</v>
      </c>
      <c r="L314" s="6" t="str">
        <f>HYPERLINK("https://maps.google.com/?q=16.6182372475158,-97.787574618836103", "🔗 Ver Mapa")</f>
        <v>🔗 Ver Mapa</v>
      </c>
    </row>
    <row r="315" spans="1:12" ht="43.5" x14ac:dyDescent="0.35">
      <c r="A315" s="5" t="s">
        <v>8</v>
      </c>
      <c r="B315" s="5" t="s">
        <v>16</v>
      </c>
      <c r="C315" s="5" t="s">
        <v>96</v>
      </c>
      <c r="D315" s="5" t="s">
        <v>35</v>
      </c>
      <c r="E315" s="5" t="s">
        <v>38</v>
      </c>
      <c r="F315" s="5" t="s">
        <v>97</v>
      </c>
      <c r="G315" s="5" t="s">
        <v>98</v>
      </c>
      <c r="H315" s="5" t="s">
        <v>99</v>
      </c>
      <c r="I315" s="5" t="s">
        <v>63</v>
      </c>
      <c r="J315" s="5">
        <v>16.618294857870001</v>
      </c>
      <c r="K315" s="5">
        <v>-97.791889682209003</v>
      </c>
      <c r="L315" s="5" t="str">
        <f>HYPERLINK("https://maps.google.com/?q=16.6182948578695,-97.791889682209003", "🔗 Ver Mapa")</f>
        <v>🔗 Ver Mapa</v>
      </c>
    </row>
    <row r="316" spans="1:12" ht="43.5" x14ac:dyDescent="0.35">
      <c r="A316" s="6" t="s">
        <v>8</v>
      </c>
      <c r="B316" s="6" t="s">
        <v>16</v>
      </c>
      <c r="C316" s="6" t="s">
        <v>96</v>
      </c>
      <c r="D316" s="6" t="s">
        <v>35</v>
      </c>
      <c r="E316" s="6" t="s">
        <v>38</v>
      </c>
      <c r="F316" s="6" t="s">
        <v>97</v>
      </c>
      <c r="G316" s="6" t="s">
        <v>98</v>
      </c>
      <c r="H316" s="6" t="s">
        <v>99</v>
      </c>
      <c r="I316" s="6" t="s">
        <v>63</v>
      </c>
      <c r="J316" s="6">
        <v>16.619501147364002</v>
      </c>
      <c r="K316" s="6">
        <v>-97.790927364417996</v>
      </c>
      <c r="L316" s="6" t="str">
        <f>HYPERLINK("https://maps.google.com/?q=16.6195011473641,-97.790927364417996", "🔗 Ver Mapa")</f>
        <v>🔗 Ver Mapa</v>
      </c>
    </row>
    <row r="317" spans="1:12" ht="43.5" x14ac:dyDescent="0.35">
      <c r="A317" s="5" t="s">
        <v>8</v>
      </c>
      <c r="B317" s="5" t="s">
        <v>16</v>
      </c>
      <c r="C317" s="5" t="s">
        <v>100</v>
      </c>
      <c r="D317" s="5" t="s">
        <v>35</v>
      </c>
      <c r="E317" s="5" t="s">
        <v>38</v>
      </c>
      <c r="F317" s="5" t="s">
        <v>97</v>
      </c>
      <c r="G317" s="5" t="s">
        <v>98</v>
      </c>
      <c r="H317" s="5" t="s">
        <v>101</v>
      </c>
      <c r="I317" s="5" t="s">
        <v>63</v>
      </c>
      <c r="J317" s="5">
        <v>16.513307132091999</v>
      </c>
      <c r="K317" s="5">
        <v>-97.781959129995002</v>
      </c>
      <c r="L317" s="5" t="str">
        <f>HYPERLINK("https://maps.google.com/?q=16.5133071320922,-97.781959129995201", "🔗 Ver Mapa")</f>
        <v>🔗 Ver Mapa</v>
      </c>
    </row>
    <row r="318" spans="1:12" ht="43.5" x14ac:dyDescent="0.35">
      <c r="A318" s="6" t="s">
        <v>8</v>
      </c>
      <c r="B318" s="6" t="s">
        <v>16</v>
      </c>
      <c r="C318" s="6" t="s">
        <v>100</v>
      </c>
      <c r="D318" s="6" t="s">
        <v>35</v>
      </c>
      <c r="E318" s="6" t="s">
        <v>38</v>
      </c>
      <c r="F318" s="6" t="s">
        <v>97</v>
      </c>
      <c r="G318" s="6" t="s">
        <v>98</v>
      </c>
      <c r="H318" s="6" t="s">
        <v>101</v>
      </c>
      <c r="I318" s="6" t="s">
        <v>63</v>
      </c>
      <c r="J318" s="6">
        <v>16.513355992067002</v>
      </c>
      <c r="K318" s="6">
        <v>-97.780829920000002</v>
      </c>
      <c r="L318" s="6" t="str">
        <f>HYPERLINK("https://maps.google.com/?q=16.5133559920669,-97.780829920000002", "🔗 Ver Mapa")</f>
        <v>🔗 Ver Mapa</v>
      </c>
    </row>
    <row r="319" spans="1:12" ht="43.5" x14ac:dyDescent="0.35">
      <c r="A319" s="5" t="s">
        <v>8</v>
      </c>
      <c r="B319" s="5" t="s">
        <v>16</v>
      </c>
      <c r="C319" s="5" t="s">
        <v>100</v>
      </c>
      <c r="D319" s="5" t="s">
        <v>35</v>
      </c>
      <c r="E319" s="5" t="s">
        <v>38</v>
      </c>
      <c r="F319" s="5" t="s">
        <v>97</v>
      </c>
      <c r="G319" s="5" t="s">
        <v>98</v>
      </c>
      <c r="H319" s="5" t="s">
        <v>101</v>
      </c>
      <c r="I319" s="5" t="s">
        <v>63</v>
      </c>
      <c r="J319" s="5">
        <v>16.513444805881001</v>
      </c>
      <c r="K319" s="5">
        <v>-97.781264510740996</v>
      </c>
      <c r="L319" s="5" t="str">
        <f>HYPERLINK("https://maps.google.com/?q=16.5134448058812,-97.781264510741394", "🔗 Ver Mapa")</f>
        <v>🔗 Ver Mapa</v>
      </c>
    </row>
    <row r="320" spans="1:12" ht="43.5" x14ac:dyDescent="0.35">
      <c r="A320" s="6" t="s">
        <v>8</v>
      </c>
      <c r="B320" s="6" t="s">
        <v>16</v>
      </c>
      <c r="C320" s="6" t="s">
        <v>100</v>
      </c>
      <c r="D320" s="6" t="s">
        <v>35</v>
      </c>
      <c r="E320" s="6" t="s">
        <v>38</v>
      </c>
      <c r="F320" s="6" t="s">
        <v>97</v>
      </c>
      <c r="G320" s="6" t="s">
        <v>98</v>
      </c>
      <c r="H320" s="6" t="s">
        <v>101</v>
      </c>
      <c r="I320" s="6" t="s">
        <v>63</v>
      </c>
      <c r="J320" s="6">
        <v>16.513529790170999</v>
      </c>
      <c r="K320" s="6">
        <v>-97.781647693866006</v>
      </c>
      <c r="L320" s="6" t="str">
        <f>HYPERLINK("https://maps.google.com/?q=16.5135297901709,-97.781647693865906", "🔗 Ver Mapa")</f>
        <v>🔗 Ver Mapa</v>
      </c>
    </row>
    <row r="321" spans="1:12" ht="43.5" x14ac:dyDescent="0.35">
      <c r="A321" s="5" t="s">
        <v>8</v>
      </c>
      <c r="B321" s="5" t="s">
        <v>16</v>
      </c>
      <c r="C321" s="5" t="s">
        <v>100</v>
      </c>
      <c r="D321" s="5" t="s">
        <v>35</v>
      </c>
      <c r="E321" s="5" t="s">
        <v>38</v>
      </c>
      <c r="F321" s="5" t="s">
        <v>97</v>
      </c>
      <c r="G321" s="5" t="s">
        <v>98</v>
      </c>
      <c r="H321" s="5" t="s">
        <v>101</v>
      </c>
      <c r="I321" s="5" t="s">
        <v>63</v>
      </c>
      <c r="J321" s="5">
        <v>16.513700361209001</v>
      </c>
      <c r="K321" s="5">
        <v>-97.780740387731996</v>
      </c>
      <c r="L321" s="5" t="str">
        <f>HYPERLINK("https://maps.google.com/?q=16.5137003612092,-97.780740387731598", "🔗 Ver Mapa")</f>
        <v>🔗 Ver Mapa</v>
      </c>
    </row>
    <row r="322" spans="1:12" ht="43.5" x14ac:dyDescent="0.35">
      <c r="A322" s="6" t="s">
        <v>8</v>
      </c>
      <c r="B322" s="6" t="s">
        <v>16</v>
      </c>
      <c r="C322" s="6" t="s">
        <v>100</v>
      </c>
      <c r="D322" s="6" t="s">
        <v>35</v>
      </c>
      <c r="E322" s="6" t="s">
        <v>38</v>
      </c>
      <c r="F322" s="6" t="s">
        <v>97</v>
      </c>
      <c r="G322" s="6" t="s">
        <v>98</v>
      </c>
      <c r="H322" s="6" t="s">
        <v>101</v>
      </c>
      <c r="I322" s="6" t="s">
        <v>63</v>
      </c>
      <c r="J322" s="6">
        <v>16.513767145229998</v>
      </c>
      <c r="K322" s="6">
        <v>-97.780921455582003</v>
      </c>
      <c r="L322" s="6" t="str">
        <f>HYPERLINK("https://maps.google.com/?q=16.5137671452295,-97.780921455581904", "🔗 Ver Mapa")</f>
        <v>🔗 Ver Mapa</v>
      </c>
    </row>
    <row r="323" spans="1:12" ht="43.5" x14ac:dyDescent="0.35">
      <c r="A323" s="5" t="s">
        <v>8</v>
      </c>
      <c r="B323" s="5" t="s">
        <v>16</v>
      </c>
      <c r="C323" s="5" t="s">
        <v>100</v>
      </c>
      <c r="D323" s="5" t="s">
        <v>35</v>
      </c>
      <c r="E323" s="5" t="s">
        <v>38</v>
      </c>
      <c r="F323" s="5" t="s">
        <v>97</v>
      </c>
      <c r="G323" s="5" t="s">
        <v>98</v>
      </c>
      <c r="H323" s="5" t="s">
        <v>101</v>
      </c>
      <c r="I323" s="5" t="s">
        <v>63</v>
      </c>
      <c r="J323" s="5">
        <v>16.513924198255001</v>
      </c>
      <c r="K323" s="5">
        <v>-97.779876876623007</v>
      </c>
      <c r="L323" s="5" t="str">
        <f>HYPERLINK("https://maps.google.com/?q=16.5139241982555,-97.779876876623305", "🔗 Ver Mapa")</f>
        <v>🔗 Ver Mapa</v>
      </c>
    </row>
    <row r="324" spans="1:12" ht="43.5" x14ac:dyDescent="0.35">
      <c r="A324" s="6" t="s">
        <v>8</v>
      </c>
      <c r="B324" s="6" t="s">
        <v>16</v>
      </c>
      <c r="C324" s="6" t="s">
        <v>100</v>
      </c>
      <c r="D324" s="6" t="s">
        <v>35</v>
      </c>
      <c r="E324" s="6" t="s">
        <v>38</v>
      </c>
      <c r="F324" s="6" t="s">
        <v>97</v>
      </c>
      <c r="G324" s="6" t="s">
        <v>98</v>
      </c>
      <c r="H324" s="6" t="s">
        <v>101</v>
      </c>
      <c r="I324" s="6" t="s">
        <v>63</v>
      </c>
      <c r="J324" s="6">
        <v>16.514022431019001</v>
      </c>
      <c r="K324" s="6">
        <v>-97.780350682209004</v>
      </c>
      <c r="L324" s="6" t="str">
        <f>HYPERLINK("https://maps.google.com/?q=16.5140224310189,-97.780350682209104", "🔗 Ver Mapa")</f>
        <v>🔗 Ver Mapa</v>
      </c>
    </row>
    <row r="325" spans="1:12" ht="43.5" x14ac:dyDescent="0.35">
      <c r="A325" s="5" t="s">
        <v>8</v>
      </c>
      <c r="B325" s="5" t="s">
        <v>16</v>
      </c>
      <c r="C325" s="5" t="s">
        <v>100</v>
      </c>
      <c r="D325" s="5" t="s">
        <v>35</v>
      </c>
      <c r="E325" s="5" t="s">
        <v>38</v>
      </c>
      <c r="F325" s="5" t="s">
        <v>97</v>
      </c>
      <c r="G325" s="5" t="s">
        <v>98</v>
      </c>
      <c r="H325" s="5" t="s">
        <v>101</v>
      </c>
      <c r="I325" s="5" t="s">
        <v>63</v>
      </c>
      <c r="J325" s="5">
        <v>16.514450038564998</v>
      </c>
      <c r="K325" s="5">
        <v>-97.781030595047</v>
      </c>
      <c r="L325" s="5" t="str">
        <f>HYPERLINK("https://maps.google.com/?q=16.5144500385655,-97.7810305950469", "🔗 Ver Mapa")</f>
        <v>🔗 Ver Mapa</v>
      </c>
    </row>
    <row r="326" spans="1:12" ht="43.5" x14ac:dyDescent="0.35">
      <c r="A326" s="6" t="s">
        <v>8</v>
      </c>
      <c r="B326" s="6" t="s">
        <v>16</v>
      </c>
      <c r="C326" s="6" t="s">
        <v>100</v>
      </c>
      <c r="D326" s="6" t="s">
        <v>35</v>
      </c>
      <c r="E326" s="6" t="s">
        <v>38</v>
      </c>
      <c r="F326" s="6" t="s">
        <v>97</v>
      </c>
      <c r="G326" s="6" t="s">
        <v>98</v>
      </c>
      <c r="H326" s="6" t="s">
        <v>101</v>
      </c>
      <c r="I326" s="6" t="s">
        <v>63</v>
      </c>
      <c r="J326" s="6">
        <v>16.514691215662999</v>
      </c>
      <c r="K326" s="6">
        <v>-97.781542691539002</v>
      </c>
      <c r="L326" s="6" t="str">
        <f>HYPERLINK("https://maps.google.com/?q=16.5146912156633,-97.781542691539002", "🔗 Ver Mapa")</f>
        <v>🔗 Ver Mapa</v>
      </c>
    </row>
    <row r="327" spans="1:12" ht="43.5" x14ac:dyDescent="0.35">
      <c r="A327" s="5" t="s">
        <v>8</v>
      </c>
      <c r="B327" s="5" t="s">
        <v>16</v>
      </c>
      <c r="C327" s="5" t="s">
        <v>100</v>
      </c>
      <c r="D327" s="5" t="s">
        <v>35</v>
      </c>
      <c r="E327" s="5" t="s">
        <v>38</v>
      </c>
      <c r="F327" s="5" t="s">
        <v>97</v>
      </c>
      <c r="G327" s="5" t="s">
        <v>98</v>
      </c>
      <c r="H327" s="5" t="s">
        <v>101</v>
      </c>
      <c r="I327" s="5" t="s">
        <v>63</v>
      </c>
      <c r="J327" s="5">
        <v>16.51474192989</v>
      </c>
      <c r="K327" s="5">
        <v>-97.781732947256003</v>
      </c>
      <c r="L327" s="5" t="str">
        <f>HYPERLINK("https://maps.google.com/?q=16.5147419298902,-97.781732947256103", "🔗 Ver Mapa")</f>
        <v>🔗 Ver Mapa</v>
      </c>
    </row>
    <row r="328" spans="1:12" ht="43.5" x14ac:dyDescent="0.35">
      <c r="A328" s="6" t="s">
        <v>8</v>
      </c>
      <c r="B328" s="6" t="s">
        <v>16</v>
      </c>
      <c r="C328" s="6" t="s">
        <v>100</v>
      </c>
      <c r="D328" s="6" t="s">
        <v>35</v>
      </c>
      <c r="E328" s="6" t="s">
        <v>38</v>
      </c>
      <c r="F328" s="6" t="s">
        <v>97</v>
      </c>
      <c r="G328" s="6" t="s">
        <v>98</v>
      </c>
      <c r="H328" s="6" t="s">
        <v>101</v>
      </c>
      <c r="I328" s="6" t="s">
        <v>63</v>
      </c>
      <c r="J328" s="6">
        <v>16.515980120432001</v>
      </c>
      <c r="K328" s="6">
        <v>-97.780643614550996</v>
      </c>
      <c r="L328" s="6" t="str">
        <f>HYPERLINK("https://maps.google.com/?q=16.5159801204319,-97.780643614551494", "🔗 Ver Mapa")</f>
        <v>🔗 Ver Mapa</v>
      </c>
    </row>
    <row r="329" spans="1:12" ht="43.5" x14ac:dyDescent="0.35">
      <c r="A329" s="5" t="s">
        <v>8</v>
      </c>
      <c r="B329" s="5" t="s">
        <v>16</v>
      </c>
      <c r="C329" s="5" t="s">
        <v>100</v>
      </c>
      <c r="D329" s="5" t="s">
        <v>35</v>
      </c>
      <c r="E329" s="5" t="s">
        <v>38</v>
      </c>
      <c r="F329" s="5" t="s">
        <v>97</v>
      </c>
      <c r="G329" s="5" t="s">
        <v>98</v>
      </c>
      <c r="H329" s="5" t="s">
        <v>101</v>
      </c>
      <c r="I329" s="5" t="s">
        <v>63</v>
      </c>
      <c r="J329" s="5">
        <v>16.516203857575999</v>
      </c>
      <c r="K329" s="5">
        <v>-97.780705192625007</v>
      </c>
      <c r="L329" s="5" t="str">
        <f>HYPERLINK("https://maps.google.com/?q=16.516203857576,-97.780705192625106", "🔗 Ver Mapa")</f>
        <v>🔗 Ver Mapa</v>
      </c>
    </row>
    <row r="330" spans="1:12" ht="43.5" x14ac:dyDescent="0.35">
      <c r="A330" s="6" t="s">
        <v>8</v>
      </c>
      <c r="B330" s="6" t="s">
        <v>16</v>
      </c>
      <c r="C330" s="6" t="s">
        <v>100</v>
      </c>
      <c r="D330" s="6" t="s">
        <v>35</v>
      </c>
      <c r="E330" s="6" t="s">
        <v>38</v>
      </c>
      <c r="F330" s="6" t="s">
        <v>97</v>
      </c>
      <c r="G330" s="6" t="s">
        <v>98</v>
      </c>
      <c r="H330" s="6" t="s">
        <v>101</v>
      </c>
      <c r="I330" s="6" t="s">
        <v>63</v>
      </c>
      <c r="J330" s="6">
        <v>16.516391005146001</v>
      </c>
      <c r="K330" s="6">
        <v>-97.780758333340998</v>
      </c>
      <c r="L330" s="6" t="str">
        <f>HYPERLINK("https://maps.google.com/?q=16.5163910051461,-97.780758333341396", "🔗 Ver Mapa")</f>
        <v>🔗 Ver Mapa</v>
      </c>
    </row>
    <row r="331" spans="1:12" ht="43.5" x14ac:dyDescent="0.35">
      <c r="A331" s="5" t="s">
        <v>8</v>
      </c>
      <c r="B331" s="5" t="s">
        <v>16</v>
      </c>
      <c r="C331" s="5" t="s">
        <v>100</v>
      </c>
      <c r="D331" s="5" t="s">
        <v>35</v>
      </c>
      <c r="E331" s="5" t="s">
        <v>38</v>
      </c>
      <c r="F331" s="5" t="s">
        <v>97</v>
      </c>
      <c r="G331" s="5" t="s">
        <v>98</v>
      </c>
      <c r="H331" s="5" t="s">
        <v>101</v>
      </c>
      <c r="I331" s="5" t="s">
        <v>63</v>
      </c>
      <c r="J331" s="5">
        <v>16.516428747789998</v>
      </c>
      <c r="K331" s="5">
        <v>-97.780199607732001</v>
      </c>
      <c r="L331" s="5" t="str">
        <f>HYPERLINK("https://maps.google.com/?q=16.5164287477901,-97.780199607731504", "🔗 Ver Mapa")</f>
        <v>🔗 Ver Mapa</v>
      </c>
    </row>
    <row r="332" spans="1:12" ht="43.5" x14ac:dyDescent="0.35">
      <c r="A332" s="6" t="s">
        <v>8</v>
      </c>
      <c r="B332" s="6" t="s">
        <v>16</v>
      </c>
      <c r="C332" s="6" t="s">
        <v>100</v>
      </c>
      <c r="D332" s="6" t="s">
        <v>35</v>
      </c>
      <c r="E332" s="6" t="s">
        <v>38</v>
      </c>
      <c r="F332" s="6" t="s">
        <v>97</v>
      </c>
      <c r="G332" s="6" t="s">
        <v>98</v>
      </c>
      <c r="H332" s="6" t="s">
        <v>101</v>
      </c>
      <c r="I332" s="6" t="s">
        <v>63</v>
      </c>
      <c r="J332" s="6">
        <v>16.517145431405002</v>
      </c>
      <c r="K332" s="6">
        <v>-97.779253705523004</v>
      </c>
      <c r="L332" s="6" t="str">
        <f>HYPERLINK("https://maps.google.com/?q=16.5171454314051,-97.779253705522507", "🔗 Ver Mapa")</f>
        <v>🔗 Ver Mapa</v>
      </c>
    </row>
    <row r="333" spans="1:12" ht="43.5" x14ac:dyDescent="0.35">
      <c r="A333" s="5" t="s">
        <v>8</v>
      </c>
      <c r="B333" s="5" t="s">
        <v>16</v>
      </c>
      <c r="C333" s="5" t="s">
        <v>100</v>
      </c>
      <c r="D333" s="5" t="s">
        <v>35</v>
      </c>
      <c r="E333" s="5" t="s">
        <v>38</v>
      </c>
      <c r="F333" s="5" t="s">
        <v>97</v>
      </c>
      <c r="G333" s="5" t="s">
        <v>98</v>
      </c>
      <c r="H333" s="5" t="s">
        <v>101</v>
      </c>
      <c r="I333" s="5" t="s">
        <v>63</v>
      </c>
      <c r="J333" s="5">
        <v>16.517245130315999</v>
      </c>
      <c r="K333" s="5">
        <v>-97.779269365928997</v>
      </c>
      <c r="L333" s="5" t="str">
        <f>HYPERLINK("https://maps.google.com/?q=16.5172451303164,-97.779269365928997", "🔗 Ver Mapa")</f>
        <v>🔗 Ver Mapa</v>
      </c>
    </row>
    <row r="334" spans="1:12" ht="43.5" x14ac:dyDescent="0.35">
      <c r="A334" s="6" t="s">
        <v>8</v>
      </c>
      <c r="B334" s="6" t="s">
        <v>16</v>
      </c>
      <c r="C334" s="6" t="s">
        <v>100</v>
      </c>
      <c r="D334" s="6" t="s">
        <v>35</v>
      </c>
      <c r="E334" s="6" t="s">
        <v>38</v>
      </c>
      <c r="F334" s="6" t="s">
        <v>97</v>
      </c>
      <c r="G334" s="6" t="s">
        <v>98</v>
      </c>
      <c r="H334" s="6" t="s">
        <v>101</v>
      </c>
      <c r="I334" s="6" t="s">
        <v>63</v>
      </c>
      <c r="J334" s="6">
        <v>16.517738859179001</v>
      </c>
      <c r="K334" s="6">
        <v>-97.782504106746003</v>
      </c>
      <c r="L334" s="6" t="str">
        <f>HYPERLINK("https://maps.google.com/?q=16.517738859179,-97.782504106745904", "🔗 Ver Mapa")</f>
        <v>🔗 Ver Mapa</v>
      </c>
    </row>
    <row r="335" spans="1:12" ht="43.5" x14ac:dyDescent="0.35">
      <c r="A335" s="5" t="s">
        <v>8</v>
      </c>
      <c r="B335" s="5" t="s">
        <v>16</v>
      </c>
      <c r="C335" s="5" t="s">
        <v>100</v>
      </c>
      <c r="D335" s="5" t="s">
        <v>35</v>
      </c>
      <c r="E335" s="5" t="s">
        <v>38</v>
      </c>
      <c r="F335" s="5" t="s">
        <v>97</v>
      </c>
      <c r="G335" s="5" t="s">
        <v>98</v>
      </c>
      <c r="H335" s="5" t="s">
        <v>101</v>
      </c>
      <c r="I335" s="5" t="s">
        <v>63</v>
      </c>
      <c r="J335" s="5">
        <v>16.517803645467001</v>
      </c>
      <c r="K335" s="5">
        <v>-97.781866341105001</v>
      </c>
      <c r="L335" s="5" t="str">
        <f>HYPERLINK("https://maps.google.com/?q=16.5178036454674,-97.781866341104504", "🔗 Ver Mapa")</f>
        <v>🔗 Ver Mapa</v>
      </c>
    </row>
    <row r="336" spans="1:12" ht="43.5" x14ac:dyDescent="0.35">
      <c r="A336" s="6" t="s">
        <v>8</v>
      </c>
      <c r="B336" s="6" t="s">
        <v>16</v>
      </c>
      <c r="C336" s="6" t="s">
        <v>100</v>
      </c>
      <c r="D336" s="6" t="s">
        <v>35</v>
      </c>
      <c r="E336" s="6" t="s">
        <v>38</v>
      </c>
      <c r="F336" s="6" t="s">
        <v>97</v>
      </c>
      <c r="G336" s="6" t="s">
        <v>98</v>
      </c>
      <c r="H336" s="6" t="s">
        <v>101</v>
      </c>
      <c r="I336" s="6" t="s">
        <v>63</v>
      </c>
      <c r="J336" s="6">
        <v>16.517847163725001</v>
      </c>
      <c r="K336" s="6">
        <v>-97.782801938765999</v>
      </c>
      <c r="L336" s="6" t="str">
        <f>HYPERLINK("https://maps.google.com/?q=16.5178471637246,-97.782801938766497", "🔗 Ver Mapa")</f>
        <v>🔗 Ver Mapa</v>
      </c>
    </row>
    <row r="337" spans="1:12" ht="43.5" x14ac:dyDescent="0.35">
      <c r="A337" s="5" t="s">
        <v>8</v>
      </c>
      <c r="B337" s="5" t="s">
        <v>16</v>
      </c>
      <c r="C337" s="5" t="s">
        <v>100</v>
      </c>
      <c r="D337" s="5" t="s">
        <v>35</v>
      </c>
      <c r="E337" s="5" t="s">
        <v>38</v>
      </c>
      <c r="F337" s="5" t="s">
        <v>97</v>
      </c>
      <c r="G337" s="5" t="s">
        <v>98</v>
      </c>
      <c r="H337" s="5" t="s">
        <v>101</v>
      </c>
      <c r="I337" s="5" t="s">
        <v>63</v>
      </c>
      <c r="J337" s="5">
        <v>16.518052222588</v>
      </c>
      <c r="K337" s="5">
        <v>-97.781934321104004</v>
      </c>
      <c r="L337" s="5" t="str">
        <f>HYPERLINK("https://maps.google.com/?q=16.5180522225879,-97.781934321104401", "🔗 Ver Mapa")</f>
        <v>🔗 Ver Mapa</v>
      </c>
    </row>
    <row r="338" spans="1:12" ht="43.5" x14ac:dyDescent="0.35">
      <c r="A338" s="6" t="s">
        <v>8</v>
      </c>
      <c r="B338" s="6" t="s">
        <v>16</v>
      </c>
      <c r="C338" s="6" t="s">
        <v>100</v>
      </c>
      <c r="D338" s="6" t="s">
        <v>35</v>
      </c>
      <c r="E338" s="6" t="s">
        <v>38</v>
      </c>
      <c r="F338" s="6" t="s">
        <v>97</v>
      </c>
      <c r="G338" s="6" t="s">
        <v>98</v>
      </c>
      <c r="H338" s="6" t="s">
        <v>101</v>
      </c>
      <c r="I338" s="6" t="s">
        <v>63</v>
      </c>
      <c r="J338" s="6">
        <v>16.518075916095999</v>
      </c>
      <c r="K338" s="6">
        <v>-97.778838487884997</v>
      </c>
      <c r="L338" s="6" t="str">
        <f>HYPERLINK("https://maps.google.com/?q=16.5180759160964,-97.778838487884798", "🔗 Ver Mapa")</f>
        <v>🔗 Ver Mapa</v>
      </c>
    </row>
    <row r="339" spans="1:12" ht="43.5" x14ac:dyDescent="0.35">
      <c r="A339" s="5" t="s">
        <v>8</v>
      </c>
      <c r="B339" s="5" t="s">
        <v>16</v>
      </c>
      <c r="C339" s="5" t="s">
        <v>100</v>
      </c>
      <c r="D339" s="5" t="s">
        <v>35</v>
      </c>
      <c r="E339" s="5" t="s">
        <v>38</v>
      </c>
      <c r="F339" s="5" t="s">
        <v>97</v>
      </c>
      <c r="G339" s="5" t="s">
        <v>98</v>
      </c>
      <c r="H339" s="5" t="s">
        <v>101</v>
      </c>
      <c r="I339" s="5" t="s">
        <v>63</v>
      </c>
      <c r="J339" s="5">
        <v>16.518122431074001</v>
      </c>
      <c r="K339" s="5">
        <v>-97.782722411045</v>
      </c>
      <c r="L339" s="5" t="str">
        <f>HYPERLINK("https://maps.google.com/?q=16.518122431074,-97.7827224110451", "🔗 Ver Mapa")</f>
        <v>🔗 Ver Mapa</v>
      </c>
    </row>
    <row r="340" spans="1:12" ht="43.5" x14ac:dyDescent="0.35">
      <c r="A340" s="6" t="s">
        <v>8</v>
      </c>
      <c r="B340" s="6" t="s">
        <v>16</v>
      </c>
      <c r="C340" s="6" t="s">
        <v>100</v>
      </c>
      <c r="D340" s="6" t="s">
        <v>35</v>
      </c>
      <c r="E340" s="6" t="s">
        <v>38</v>
      </c>
      <c r="F340" s="6" t="s">
        <v>97</v>
      </c>
      <c r="G340" s="6" t="s">
        <v>98</v>
      </c>
      <c r="H340" s="6" t="s">
        <v>101</v>
      </c>
      <c r="I340" s="6" t="s">
        <v>63</v>
      </c>
      <c r="J340" s="6">
        <v>16.518338860143</v>
      </c>
      <c r="K340" s="6">
        <v>-97.779571000000004</v>
      </c>
      <c r="L340" s="6" t="str">
        <f>HYPERLINK("https://maps.google.com/?q=16.5183388601432,-97.779571000000004", "🔗 Ver Mapa")</f>
        <v>🔗 Ver Mapa</v>
      </c>
    </row>
    <row r="341" spans="1:12" ht="43.5" x14ac:dyDescent="0.35">
      <c r="A341" s="5" t="s">
        <v>8</v>
      </c>
      <c r="B341" s="5" t="s">
        <v>16</v>
      </c>
      <c r="C341" s="5" t="s">
        <v>100</v>
      </c>
      <c r="D341" s="5" t="s">
        <v>35</v>
      </c>
      <c r="E341" s="5" t="s">
        <v>38</v>
      </c>
      <c r="F341" s="5" t="s">
        <v>97</v>
      </c>
      <c r="G341" s="5" t="s">
        <v>98</v>
      </c>
      <c r="H341" s="5" t="s">
        <v>101</v>
      </c>
      <c r="I341" s="5" t="s">
        <v>63</v>
      </c>
      <c r="J341" s="5">
        <v>16.518544646142999</v>
      </c>
      <c r="K341" s="5">
        <v>-97.781773059946005</v>
      </c>
      <c r="L341" s="5" t="str">
        <f>HYPERLINK("https://maps.google.com/?q=16.5185446461435,-97.781773059946303", "🔗 Ver Mapa")</f>
        <v>🔗 Ver Mapa</v>
      </c>
    </row>
    <row r="342" spans="1:12" ht="43.5" x14ac:dyDescent="0.35">
      <c r="A342" s="6" t="s">
        <v>8</v>
      </c>
      <c r="B342" s="6" t="s">
        <v>16</v>
      </c>
      <c r="C342" s="6" t="s">
        <v>100</v>
      </c>
      <c r="D342" s="6" t="s">
        <v>35</v>
      </c>
      <c r="E342" s="6" t="s">
        <v>38</v>
      </c>
      <c r="F342" s="6" t="s">
        <v>97</v>
      </c>
      <c r="G342" s="6" t="s">
        <v>98</v>
      </c>
      <c r="H342" s="6" t="s">
        <v>101</v>
      </c>
      <c r="I342" s="6" t="s">
        <v>63</v>
      </c>
      <c r="J342" s="6">
        <v>16.518635859848999</v>
      </c>
      <c r="K342" s="6">
        <v>-97.781908269268996</v>
      </c>
      <c r="L342" s="6" t="str">
        <f>HYPERLINK("https://maps.google.com/?q=16.5186358598486,-97.781908269269394", "🔗 Ver Mapa")</f>
        <v>🔗 Ver Mapa</v>
      </c>
    </row>
    <row r="343" spans="1:12" ht="43.5" x14ac:dyDescent="0.35">
      <c r="A343" s="5" t="s">
        <v>8</v>
      </c>
      <c r="B343" s="5" t="s">
        <v>16</v>
      </c>
      <c r="C343" s="5" t="s">
        <v>100</v>
      </c>
      <c r="D343" s="5" t="s">
        <v>35</v>
      </c>
      <c r="E343" s="5" t="s">
        <v>38</v>
      </c>
      <c r="F343" s="5" t="s">
        <v>97</v>
      </c>
      <c r="G343" s="5" t="s">
        <v>98</v>
      </c>
      <c r="H343" s="5" t="s">
        <v>101</v>
      </c>
      <c r="I343" s="5" t="s">
        <v>63</v>
      </c>
      <c r="J343" s="5">
        <v>16.518654145054999</v>
      </c>
      <c r="K343" s="5">
        <v>-97.779139588955005</v>
      </c>
      <c r="L343" s="5" t="str">
        <f>HYPERLINK("https://maps.google.com/?q=16.5186541450546,-97.779139588955104", "🔗 Ver Mapa")</f>
        <v>🔗 Ver Mapa</v>
      </c>
    </row>
    <row r="344" spans="1:12" ht="43.5" x14ac:dyDescent="0.35">
      <c r="A344" s="6" t="s">
        <v>8</v>
      </c>
      <c r="B344" s="6" t="s">
        <v>16</v>
      </c>
      <c r="C344" s="6" t="s">
        <v>100</v>
      </c>
      <c r="D344" s="6" t="s">
        <v>35</v>
      </c>
      <c r="E344" s="6" t="s">
        <v>38</v>
      </c>
      <c r="F344" s="6" t="s">
        <v>97</v>
      </c>
      <c r="G344" s="6" t="s">
        <v>98</v>
      </c>
      <c r="H344" s="6" t="s">
        <v>101</v>
      </c>
      <c r="I344" s="6" t="s">
        <v>63</v>
      </c>
      <c r="J344" s="6">
        <v>16.518716037322001</v>
      </c>
      <c r="K344" s="6">
        <v>-97.778912632130002</v>
      </c>
      <c r="L344" s="6" t="str">
        <f>HYPERLINK("https://maps.google.com/?q=16.5187160373221,-97.778912632130201", "🔗 Ver Mapa")</f>
        <v>🔗 Ver Mapa</v>
      </c>
    </row>
    <row r="345" spans="1:12" ht="43.5" x14ac:dyDescent="0.35">
      <c r="A345" s="5" t="s">
        <v>8</v>
      </c>
      <c r="B345" s="5" t="s">
        <v>16</v>
      </c>
      <c r="C345" s="5" t="s">
        <v>100</v>
      </c>
      <c r="D345" s="5" t="s">
        <v>35</v>
      </c>
      <c r="E345" s="5" t="s">
        <v>38</v>
      </c>
      <c r="F345" s="5" t="s">
        <v>97</v>
      </c>
      <c r="G345" s="5" t="s">
        <v>98</v>
      </c>
      <c r="H345" s="5" t="s">
        <v>101</v>
      </c>
      <c r="I345" s="5" t="s">
        <v>63</v>
      </c>
      <c r="J345" s="5">
        <v>16.518816157446999</v>
      </c>
      <c r="K345" s="5">
        <v>-97.779300522541007</v>
      </c>
      <c r="L345" s="5" t="str">
        <f>HYPERLINK("https://maps.google.com/?q=16.5188161574472,-97.779300522540893", "🔗 Ver Mapa")</f>
        <v>🔗 Ver Mapa</v>
      </c>
    </row>
    <row r="346" spans="1:12" ht="43.5" x14ac:dyDescent="0.35">
      <c r="A346" s="6" t="s">
        <v>8</v>
      </c>
      <c r="B346" s="6" t="s">
        <v>16</v>
      </c>
      <c r="C346" s="6" t="s">
        <v>100</v>
      </c>
      <c r="D346" s="6" t="s">
        <v>35</v>
      </c>
      <c r="E346" s="6" t="s">
        <v>38</v>
      </c>
      <c r="F346" s="6" t="s">
        <v>97</v>
      </c>
      <c r="G346" s="6" t="s">
        <v>98</v>
      </c>
      <c r="H346" s="6" t="s">
        <v>101</v>
      </c>
      <c r="I346" s="6" t="s">
        <v>63</v>
      </c>
      <c r="J346" s="6">
        <v>16.518865645019002</v>
      </c>
      <c r="K346" s="6">
        <v>-97.782262363491995</v>
      </c>
      <c r="L346" s="6" t="str">
        <f>HYPERLINK("https://maps.google.com/?q=16.5188656450186,-97.782262363491796", "🔗 Ver Mapa")</f>
        <v>🔗 Ver Mapa</v>
      </c>
    </row>
    <row r="347" spans="1:12" ht="43.5" x14ac:dyDescent="0.35">
      <c r="A347" s="5" t="s">
        <v>8</v>
      </c>
      <c r="B347" s="5" t="s">
        <v>16</v>
      </c>
      <c r="C347" s="5" t="s">
        <v>102</v>
      </c>
      <c r="D347" s="5" t="s">
        <v>35</v>
      </c>
      <c r="E347" s="5" t="s">
        <v>38</v>
      </c>
      <c r="F347" s="5" t="s">
        <v>97</v>
      </c>
      <c r="G347" s="5" t="s">
        <v>98</v>
      </c>
      <c r="H347" s="5" t="s">
        <v>103</v>
      </c>
      <c r="I347" s="5" t="s">
        <v>63</v>
      </c>
      <c r="J347" s="5">
        <v>16.498573</v>
      </c>
      <c r="K347" s="5">
        <v>-97.783625999999998</v>
      </c>
      <c r="L347" s="5" t="str">
        <f>HYPERLINK("https://maps.google.com/?q=16.498573,-97.783625999999998", "🔗 Ver Mapa")</f>
        <v>🔗 Ver Mapa</v>
      </c>
    </row>
    <row r="348" spans="1:12" ht="43.5" x14ac:dyDescent="0.35">
      <c r="A348" s="6" t="s">
        <v>8</v>
      </c>
      <c r="B348" s="6" t="s">
        <v>16</v>
      </c>
      <c r="C348" s="6" t="s">
        <v>102</v>
      </c>
      <c r="D348" s="6" t="s">
        <v>35</v>
      </c>
      <c r="E348" s="6" t="s">
        <v>38</v>
      </c>
      <c r="F348" s="6" t="s">
        <v>97</v>
      </c>
      <c r="G348" s="6" t="s">
        <v>98</v>
      </c>
      <c r="H348" s="6" t="s">
        <v>103</v>
      </c>
      <c r="I348" s="6" t="s">
        <v>63</v>
      </c>
      <c r="J348" s="6">
        <v>16.498746000000001</v>
      </c>
      <c r="K348" s="6">
        <v>-97.779933</v>
      </c>
      <c r="L348" s="6" t="str">
        <f>HYPERLINK("https://maps.google.com/?q=16.498746,-97.779933", "🔗 Ver Mapa")</f>
        <v>🔗 Ver Mapa</v>
      </c>
    </row>
    <row r="349" spans="1:12" ht="43.5" x14ac:dyDescent="0.35">
      <c r="A349" s="5" t="s">
        <v>8</v>
      </c>
      <c r="B349" s="5" t="s">
        <v>16</v>
      </c>
      <c r="C349" s="5" t="s">
        <v>102</v>
      </c>
      <c r="D349" s="5" t="s">
        <v>35</v>
      </c>
      <c r="E349" s="5" t="s">
        <v>38</v>
      </c>
      <c r="F349" s="5" t="s">
        <v>97</v>
      </c>
      <c r="G349" s="5" t="s">
        <v>98</v>
      </c>
      <c r="H349" s="5" t="s">
        <v>103</v>
      </c>
      <c r="I349" s="5" t="s">
        <v>63</v>
      </c>
      <c r="J349" s="5">
        <v>16.498997362570002</v>
      </c>
      <c r="K349" s="5">
        <v>-97.782574437186</v>
      </c>
      <c r="L349" s="5" t="str">
        <f>HYPERLINK("https://maps.google.com/?q=16.49899736257,-97.782574437186398", "🔗 Ver Mapa")</f>
        <v>🔗 Ver Mapa</v>
      </c>
    </row>
    <row r="350" spans="1:12" ht="43.5" x14ac:dyDescent="0.35">
      <c r="A350" s="6" t="s">
        <v>8</v>
      </c>
      <c r="B350" s="6" t="s">
        <v>16</v>
      </c>
      <c r="C350" s="6" t="s">
        <v>102</v>
      </c>
      <c r="D350" s="6" t="s">
        <v>35</v>
      </c>
      <c r="E350" s="6" t="s">
        <v>38</v>
      </c>
      <c r="F350" s="6" t="s">
        <v>97</v>
      </c>
      <c r="G350" s="6" t="s">
        <v>98</v>
      </c>
      <c r="H350" s="6" t="s">
        <v>103</v>
      </c>
      <c r="I350" s="6" t="s">
        <v>63</v>
      </c>
      <c r="J350" s="6">
        <v>16.499170707863001</v>
      </c>
      <c r="K350" s="6">
        <v>-97.782534513447004</v>
      </c>
      <c r="L350" s="6" t="str">
        <f>HYPERLINK("https://maps.google.com/?q=16.4991707078626,-97.782534513447303", "🔗 Ver Mapa")</f>
        <v>🔗 Ver Mapa</v>
      </c>
    </row>
    <row r="351" spans="1:12" ht="43.5" x14ac:dyDescent="0.35">
      <c r="A351" s="5" t="s">
        <v>8</v>
      </c>
      <c r="B351" s="5" t="s">
        <v>16</v>
      </c>
      <c r="C351" s="5" t="s">
        <v>102</v>
      </c>
      <c r="D351" s="5" t="s">
        <v>35</v>
      </c>
      <c r="E351" s="5" t="s">
        <v>38</v>
      </c>
      <c r="F351" s="5" t="s">
        <v>97</v>
      </c>
      <c r="G351" s="5" t="s">
        <v>98</v>
      </c>
      <c r="H351" s="5" t="s">
        <v>103</v>
      </c>
      <c r="I351" s="5" t="s">
        <v>63</v>
      </c>
      <c r="J351" s="5">
        <v>16.499171</v>
      </c>
      <c r="K351" s="5">
        <v>-97.783360000000002</v>
      </c>
      <c r="L351" s="5" t="str">
        <f>HYPERLINK("https://maps.google.com/?q=16.499171,-97.783360000000002", "🔗 Ver Mapa")</f>
        <v>🔗 Ver Mapa</v>
      </c>
    </row>
    <row r="352" spans="1:12" ht="43.5" x14ac:dyDescent="0.35">
      <c r="A352" s="6" t="s">
        <v>8</v>
      </c>
      <c r="B352" s="6" t="s">
        <v>16</v>
      </c>
      <c r="C352" s="6" t="s">
        <v>102</v>
      </c>
      <c r="D352" s="6" t="s">
        <v>35</v>
      </c>
      <c r="E352" s="6" t="s">
        <v>38</v>
      </c>
      <c r="F352" s="6" t="s">
        <v>97</v>
      </c>
      <c r="G352" s="6" t="s">
        <v>98</v>
      </c>
      <c r="H352" s="6" t="s">
        <v>103</v>
      </c>
      <c r="I352" s="6" t="s">
        <v>63</v>
      </c>
      <c r="J352" s="6">
        <v>16.499204091646</v>
      </c>
      <c r="K352" s="6">
        <v>-97.780742064731001</v>
      </c>
      <c r="L352" s="6" t="str">
        <f>HYPERLINK("https://maps.google.com/?q=16.4992040916456,-97.780742064730504", "🔗 Ver Mapa")</f>
        <v>🔗 Ver Mapa</v>
      </c>
    </row>
    <row r="353" spans="1:12" ht="43.5" x14ac:dyDescent="0.35">
      <c r="A353" s="5" t="s">
        <v>8</v>
      </c>
      <c r="B353" s="5" t="s">
        <v>16</v>
      </c>
      <c r="C353" s="5" t="s">
        <v>102</v>
      </c>
      <c r="D353" s="5" t="s">
        <v>35</v>
      </c>
      <c r="E353" s="5" t="s">
        <v>38</v>
      </c>
      <c r="F353" s="5" t="s">
        <v>97</v>
      </c>
      <c r="G353" s="5" t="s">
        <v>98</v>
      </c>
      <c r="H353" s="5" t="s">
        <v>103</v>
      </c>
      <c r="I353" s="5" t="s">
        <v>63</v>
      </c>
      <c r="J353" s="5">
        <v>16.499306962239</v>
      </c>
      <c r="K353" s="5">
        <v>-97.780803755538003</v>
      </c>
      <c r="L353" s="5" t="str">
        <f>HYPERLINK("https://maps.google.com/?q=16.499306962239,-97.780803755537804", "🔗 Ver Mapa")</f>
        <v>🔗 Ver Mapa</v>
      </c>
    </row>
    <row r="354" spans="1:12" ht="43.5" x14ac:dyDescent="0.35">
      <c r="A354" s="6" t="s">
        <v>8</v>
      </c>
      <c r="B354" s="6" t="s">
        <v>16</v>
      </c>
      <c r="C354" s="6" t="s">
        <v>102</v>
      </c>
      <c r="D354" s="6" t="s">
        <v>35</v>
      </c>
      <c r="E354" s="6" t="s">
        <v>38</v>
      </c>
      <c r="F354" s="6" t="s">
        <v>97</v>
      </c>
      <c r="G354" s="6" t="s">
        <v>98</v>
      </c>
      <c r="H354" s="6" t="s">
        <v>103</v>
      </c>
      <c r="I354" s="6" t="s">
        <v>63</v>
      </c>
      <c r="J354" s="6">
        <v>16.499316006109002</v>
      </c>
      <c r="K354" s="6">
        <v>-97.783234565640996</v>
      </c>
      <c r="L354" s="6" t="str">
        <f>HYPERLINK("https://maps.google.com/?q=16.499316006109,-97.783234565641393", "🔗 Ver Mapa")</f>
        <v>🔗 Ver Mapa</v>
      </c>
    </row>
    <row r="355" spans="1:12" ht="43.5" x14ac:dyDescent="0.35">
      <c r="A355" s="5" t="s">
        <v>8</v>
      </c>
      <c r="B355" s="5" t="s">
        <v>16</v>
      </c>
      <c r="C355" s="5" t="s">
        <v>102</v>
      </c>
      <c r="D355" s="5" t="s">
        <v>35</v>
      </c>
      <c r="E355" s="5" t="s">
        <v>38</v>
      </c>
      <c r="F355" s="5" t="s">
        <v>97</v>
      </c>
      <c r="G355" s="5" t="s">
        <v>98</v>
      </c>
      <c r="H355" s="5" t="s">
        <v>103</v>
      </c>
      <c r="I355" s="5" t="s">
        <v>63</v>
      </c>
      <c r="J355" s="5">
        <v>16.499343</v>
      </c>
      <c r="K355" s="5">
        <v>-97.782893000000001</v>
      </c>
      <c r="L355" s="5" t="str">
        <f>HYPERLINK("https://maps.google.com/?q=16.499343,-97.782893000000001", "🔗 Ver Mapa")</f>
        <v>🔗 Ver Mapa</v>
      </c>
    </row>
    <row r="356" spans="1:12" ht="43.5" x14ac:dyDescent="0.35">
      <c r="A356" s="6" t="s">
        <v>8</v>
      </c>
      <c r="B356" s="6" t="s">
        <v>16</v>
      </c>
      <c r="C356" s="6" t="s">
        <v>102</v>
      </c>
      <c r="D356" s="6" t="s">
        <v>35</v>
      </c>
      <c r="E356" s="6" t="s">
        <v>38</v>
      </c>
      <c r="F356" s="6" t="s">
        <v>97</v>
      </c>
      <c r="G356" s="6" t="s">
        <v>98</v>
      </c>
      <c r="H356" s="6" t="s">
        <v>103</v>
      </c>
      <c r="I356" s="6" t="s">
        <v>63</v>
      </c>
      <c r="J356" s="6">
        <v>16.499355087333999</v>
      </c>
      <c r="K356" s="6">
        <v>-97.780078203705003</v>
      </c>
      <c r="L356" s="6" t="str">
        <f>HYPERLINK("https://maps.google.com/?q=16.4993550873336,-97.780078203704704", "🔗 Ver Mapa")</f>
        <v>🔗 Ver Mapa</v>
      </c>
    </row>
    <row r="357" spans="1:12" ht="43.5" x14ac:dyDescent="0.35">
      <c r="A357" s="5" t="s">
        <v>8</v>
      </c>
      <c r="B357" s="5" t="s">
        <v>16</v>
      </c>
      <c r="C357" s="5" t="s">
        <v>102</v>
      </c>
      <c r="D357" s="5" t="s">
        <v>35</v>
      </c>
      <c r="E357" s="5" t="s">
        <v>38</v>
      </c>
      <c r="F357" s="5" t="s">
        <v>97</v>
      </c>
      <c r="G357" s="5" t="s">
        <v>98</v>
      </c>
      <c r="H357" s="5" t="s">
        <v>103</v>
      </c>
      <c r="I357" s="5" t="s">
        <v>63</v>
      </c>
      <c r="J357" s="5">
        <v>16.499447</v>
      </c>
      <c r="K357" s="5">
        <v>-97.782909000000004</v>
      </c>
      <c r="L357" s="5" t="str">
        <f>HYPERLINK("https://maps.google.com/?q=16.499447,-97.782909000000004", "🔗 Ver Mapa")</f>
        <v>🔗 Ver Mapa</v>
      </c>
    </row>
    <row r="358" spans="1:12" ht="43.5" x14ac:dyDescent="0.35">
      <c r="A358" s="6" t="s">
        <v>8</v>
      </c>
      <c r="B358" s="6" t="s">
        <v>16</v>
      </c>
      <c r="C358" s="6" t="s">
        <v>102</v>
      </c>
      <c r="D358" s="6" t="s">
        <v>35</v>
      </c>
      <c r="E358" s="6" t="s">
        <v>38</v>
      </c>
      <c r="F358" s="6" t="s">
        <v>97</v>
      </c>
      <c r="G358" s="6" t="s">
        <v>98</v>
      </c>
      <c r="H358" s="6" t="s">
        <v>103</v>
      </c>
      <c r="I358" s="6" t="s">
        <v>63</v>
      </c>
      <c r="J358" s="6">
        <v>16.499455999999999</v>
      </c>
      <c r="K358" s="6">
        <v>-97.783133000000007</v>
      </c>
      <c r="L358" s="6" t="str">
        <f>HYPERLINK("https://maps.google.com/?q=16.499456,-97.783133000000007", "🔗 Ver Mapa")</f>
        <v>🔗 Ver Mapa</v>
      </c>
    </row>
    <row r="359" spans="1:12" ht="43.5" x14ac:dyDescent="0.35">
      <c r="A359" s="5" t="s">
        <v>8</v>
      </c>
      <c r="B359" s="5" t="s">
        <v>16</v>
      </c>
      <c r="C359" s="5" t="s">
        <v>102</v>
      </c>
      <c r="D359" s="5" t="s">
        <v>35</v>
      </c>
      <c r="E359" s="5" t="s">
        <v>38</v>
      </c>
      <c r="F359" s="5" t="s">
        <v>97</v>
      </c>
      <c r="G359" s="5" t="s">
        <v>98</v>
      </c>
      <c r="H359" s="5" t="s">
        <v>103</v>
      </c>
      <c r="I359" s="5" t="s">
        <v>63</v>
      </c>
      <c r="J359" s="5">
        <v>16.499546288465002</v>
      </c>
      <c r="K359" s="5">
        <v>-97.782801411045</v>
      </c>
      <c r="L359" s="5" t="str">
        <f>HYPERLINK("https://maps.google.com/?q=16.4995462884654,-97.782801411045099", "🔗 Ver Mapa")</f>
        <v>🔗 Ver Mapa</v>
      </c>
    </row>
    <row r="360" spans="1:12" ht="43.5" x14ac:dyDescent="0.35">
      <c r="A360" s="6" t="s">
        <v>8</v>
      </c>
      <c r="B360" s="6" t="s">
        <v>16</v>
      </c>
      <c r="C360" s="6" t="s">
        <v>102</v>
      </c>
      <c r="D360" s="6" t="s">
        <v>35</v>
      </c>
      <c r="E360" s="6" t="s">
        <v>38</v>
      </c>
      <c r="F360" s="6" t="s">
        <v>97</v>
      </c>
      <c r="G360" s="6" t="s">
        <v>98</v>
      </c>
      <c r="H360" s="6" t="s">
        <v>103</v>
      </c>
      <c r="I360" s="6" t="s">
        <v>63</v>
      </c>
      <c r="J360" s="6">
        <v>16.499564436640998</v>
      </c>
      <c r="K360" s="6">
        <v>-97.780171177910006</v>
      </c>
      <c r="L360" s="6" t="str">
        <f>HYPERLINK("https://maps.google.com/?q=16.4995644366415,-97.780171177909907", "🔗 Ver Mapa")</f>
        <v>🔗 Ver Mapa</v>
      </c>
    </row>
    <row r="361" spans="1:12" ht="43.5" x14ac:dyDescent="0.35">
      <c r="A361" s="5" t="s">
        <v>8</v>
      </c>
      <c r="B361" s="5" t="s">
        <v>16</v>
      </c>
      <c r="C361" s="5" t="s">
        <v>102</v>
      </c>
      <c r="D361" s="5" t="s">
        <v>35</v>
      </c>
      <c r="E361" s="5" t="s">
        <v>38</v>
      </c>
      <c r="F361" s="5" t="s">
        <v>97</v>
      </c>
      <c r="G361" s="5" t="s">
        <v>98</v>
      </c>
      <c r="H361" s="5" t="s">
        <v>103</v>
      </c>
      <c r="I361" s="5" t="s">
        <v>63</v>
      </c>
      <c r="J361" s="5">
        <v>16.499822000000002</v>
      </c>
      <c r="K361" s="5">
        <v>-97.781002999999998</v>
      </c>
      <c r="L361" s="5" t="str">
        <f>HYPERLINK("https://maps.google.com/?q=16.499822,-97.781002999999998", "🔗 Ver Mapa")</f>
        <v>🔗 Ver Mapa</v>
      </c>
    </row>
    <row r="362" spans="1:12" ht="43.5" x14ac:dyDescent="0.35">
      <c r="A362" s="6" t="s">
        <v>8</v>
      </c>
      <c r="B362" s="6" t="s">
        <v>16</v>
      </c>
      <c r="C362" s="6" t="s">
        <v>102</v>
      </c>
      <c r="D362" s="6" t="s">
        <v>35</v>
      </c>
      <c r="E362" s="6" t="s">
        <v>38</v>
      </c>
      <c r="F362" s="6" t="s">
        <v>97</v>
      </c>
      <c r="G362" s="6" t="s">
        <v>98</v>
      </c>
      <c r="H362" s="6" t="s">
        <v>103</v>
      </c>
      <c r="I362" s="6" t="s">
        <v>63</v>
      </c>
      <c r="J362" s="6">
        <v>16.499836288503001</v>
      </c>
      <c r="K362" s="6">
        <v>-97.782562069939999</v>
      </c>
      <c r="L362" s="6" t="str">
        <f>HYPERLINK("https://maps.google.com/?q=16.4998362885027,-97.782562069940496", "🔗 Ver Mapa")</f>
        <v>🔗 Ver Mapa</v>
      </c>
    </row>
    <row r="363" spans="1:12" ht="43.5" x14ac:dyDescent="0.35">
      <c r="A363" s="5" t="s">
        <v>8</v>
      </c>
      <c r="B363" s="5" t="s">
        <v>16</v>
      </c>
      <c r="C363" s="5" t="s">
        <v>102</v>
      </c>
      <c r="D363" s="5" t="s">
        <v>35</v>
      </c>
      <c r="E363" s="5" t="s">
        <v>38</v>
      </c>
      <c r="F363" s="5" t="s">
        <v>97</v>
      </c>
      <c r="G363" s="5" t="s">
        <v>98</v>
      </c>
      <c r="H363" s="5" t="s">
        <v>103</v>
      </c>
      <c r="I363" s="5" t="s">
        <v>63</v>
      </c>
      <c r="J363" s="5">
        <v>16.500043079691</v>
      </c>
      <c r="K363" s="5">
        <v>-97.781173752778997</v>
      </c>
      <c r="L363" s="5" t="str">
        <f>HYPERLINK("https://maps.google.com/?q=16.5000430796907,-97.781173752778599", "🔗 Ver Mapa")</f>
        <v>🔗 Ver Mapa</v>
      </c>
    </row>
    <row r="364" spans="1:12" ht="43.5" x14ac:dyDescent="0.35">
      <c r="A364" s="6" t="s">
        <v>8</v>
      </c>
      <c r="B364" s="6" t="s">
        <v>16</v>
      </c>
      <c r="C364" s="6" t="s">
        <v>102</v>
      </c>
      <c r="D364" s="6" t="s">
        <v>35</v>
      </c>
      <c r="E364" s="6" t="s">
        <v>38</v>
      </c>
      <c r="F364" s="6" t="s">
        <v>97</v>
      </c>
      <c r="G364" s="6" t="s">
        <v>98</v>
      </c>
      <c r="H364" s="6" t="s">
        <v>103</v>
      </c>
      <c r="I364" s="6" t="s">
        <v>63</v>
      </c>
      <c r="J364" s="6">
        <v>16.500236071549001</v>
      </c>
      <c r="K364" s="6">
        <v>-97.781131434358997</v>
      </c>
      <c r="L364" s="6" t="str">
        <f>HYPERLINK("https://maps.google.com/?q=16.5002360715488,-97.781131434358599", "🔗 Ver Mapa")</f>
        <v>🔗 Ver Mapa</v>
      </c>
    </row>
    <row r="365" spans="1:12" ht="43.5" x14ac:dyDescent="0.35">
      <c r="A365" s="5" t="s">
        <v>8</v>
      </c>
      <c r="B365" s="5" t="s">
        <v>16</v>
      </c>
      <c r="C365" s="5" t="s">
        <v>102</v>
      </c>
      <c r="D365" s="5" t="s">
        <v>35</v>
      </c>
      <c r="E365" s="5" t="s">
        <v>38</v>
      </c>
      <c r="F365" s="5" t="s">
        <v>97</v>
      </c>
      <c r="G365" s="5" t="s">
        <v>98</v>
      </c>
      <c r="H365" s="5" t="s">
        <v>103</v>
      </c>
      <c r="I365" s="5" t="s">
        <v>63</v>
      </c>
      <c r="J365" s="5">
        <v>16.500237987792001</v>
      </c>
      <c r="K365" s="5">
        <v>-97.781255099747995</v>
      </c>
      <c r="L365" s="5" t="str">
        <f>HYPERLINK("https://maps.google.com/?q=16.5002379877922,-97.781255099747696", "🔗 Ver Mapa")</f>
        <v>🔗 Ver Mapa</v>
      </c>
    </row>
    <row r="366" spans="1:12" ht="43.5" x14ac:dyDescent="0.35">
      <c r="A366" s="6" t="s">
        <v>8</v>
      </c>
      <c r="B366" s="6" t="s">
        <v>16</v>
      </c>
      <c r="C366" s="6" t="s">
        <v>102</v>
      </c>
      <c r="D366" s="6" t="s">
        <v>35</v>
      </c>
      <c r="E366" s="6" t="s">
        <v>38</v>
      </c>
      <c r="F366" s="6" t="s">
        <v>97</v>
      </c>
      <c r="G366" s="6" t="s">
        <v>98</v>
      </c>
      <c r="H366" s="6" t="s">
        <v>103</v>
      </c>
      <c r="I366" s="6" t="s">
        <v>63</v>
      </c>
      <c r="J366" s="6">
        <v>16.500309000000001</v>
      </c>
      <c r="K366" s="6">
        <v>-97.780430999999993</v>
      </c>
      <c r="L366" s="6" t="str">
        <f>HYPERLINK("https://maps.google.com/?q=16.500309,-97.780430999999993", "🔗 Ver Mapa")</f>
        <v>🔗 Ver Mapa</v>
      </c>
    </row>
    <row r="367" spans="1:12" ht="43.5" x14ac:dyDescent="0.35">
      <c r="A367" s="5" t="s">
        <v>8</v>
      </c>
      <c r="B367" s="5" t="s">
        <v>16</v>
      </c>
      <c r="C367" s="5" t="s">
        <v>102</v>
      </c>
      <c r="D367" s="5" t="s">
        <v>35</v>
      </c>
      <c r="E367" s="5" t="s">
        <v>38</v>
      </c>
      <c r="F367" s="5" t="s">
        <v>97</v>
      </c>
      <c r="G367" s="5" t="s">
        <v>98</v>
      </c>
      <c r="H367" s="5" t="s">
        <v>103</v>
      </c>
      <c r="I367" s="5" t="s">
        <v>63</v>
      </c>
      <c r="J367" s="5">
        <v>16.500361000000002</v>
      </c>
      <c r="K367" s="5">
        <v>-97.781256999999997</v>
      </c>
      <c r="L367" s="5" t="str">
        <f>HYPERLINK("https://maps.google.com/?q=16.500361,-97.781256999999997", "🔗 Ver Mapa")</f>
        <v>🔗 Ver Mapa</v>
      </c>
    </row>
    <row r="368" spans="1:12" ht="43.5" x14ac:dyDescent="0.35">
      <c r="A368" s="6" t="s">
        <v>8</v>
      </c>
      <c r="B368" s="6" t="s">
        <v>16</v>
      </c>
      <c r="C368" s="6" t="s">
        <v>102</v>
      </c>
      <c r="D368" s="6" t="s">
        <v>35</v>
      </c>
      <c r="E368" s="6" t="s">
        <v>38</v>
      </c>
      <c r="F368" s="6" t="s">
        <v>97</v>
      </c>
      <c r="G368" s="6" t="s">
        <v>98</v>
      </c>
      <c r="H368" s="6" t="s">
        <v>103</v>
      </c>
      <c r="I368" s="6" t="s">
        <v>63</v>
      </c>
      <c r="J368" s="6">
        <v>16.500444000000002</v>
      </c>
      <c r="K368" s="6">
        <v>-97.780940999999999</v>
      </c>
      <c r="L368" s="6" t="str">
        <f>HYPERLINK("https://maps.google.com/?q=16.500444,-97.780940999999999", "🔗 Ver Mapa")</f>
        <v>🔗 Ver Mapa</v>
      </c>
    </row>
    <row r="369" spans="1:12" ht="43.5" x14ac:dyDescent="0.35">
      <c r="A369" s="5" t="s">
        <v>8</v>
      </c>
      <c r="B369" s="5" t="s">
        <v>16</v>
      </c>
      <c r="C369" s="5" t="s">
        <v>102</v>
      </c>
      <c r="D369" s="5" t="s">
        <v>35</v>
      </c>
      <c r="E369" s="5" t="s">
        <v>38</v>
      </c>
      <c r="F369" s="5" t="s">
        <v>97</v>
      </c>
      <c r="G369" s="5" t="s">
        <v>98</v>
      </c>
      <c r="H369" s="5" t="s">
        <v>103</v>
      </c>
      <c r="I369" s="5" t="s">
        <v>63</v>
      </c>
      <c r="J369" s="5">
        <v>16.500451000000002</v>
      </c>
      <c r="K369" s="5">
        <v>-97.780662000000007</v>
      </c>
      <c r="L369" s="5" t="str">
        <f>HYPERLINK("https://maps.google.com/?q=16.500451,-97.780662000000007", "🔗 Ver Mapa")</f>
        <v>🔗 Ver Mapa</v>
      </c>
    </row>
    <row r="370" spans="1:12" ht="43.5" x14ac:dyDescent="0.35">
      <c r="A370" s="6" t="s">
        <v>8</v>
      </c>
      <c r="B370" s="6" t="s">
        <v>16</v>
      </c>
      <c r="C370" s="6" t="s">
        <v>102</v>
      </c>
      <c r="D370" s="6" t="s">
        <v>35</v>
      </c>
      <c r="E370" s="6" t="s">
        <v>38</v>
      </c>
      <c r="F370" s="6" t="s">
        <v>97</v>
      </c>
      <c r="G370" s="6" t="s">
        <v>98</v>
      </c>
      <c r="H370" s="6" t="s">
        <v>103</v>
      </c>
      <c r="I370" s="6" t="s">
        <v>63</v>
      </c>
      <c r="J370" s="6">
        <v>16.500458999999999</v>
      </c>
      <c r="K370" s="6">
        <v>-97.781424000000001</v>
      </c>
      <c r="L370" s="6" t="str">
        <f>HYPERLINK("https://maps.google.com/?q=16.500459,-97.781424000000001", "🔗 Ver Mapa")</f>
        <v>🔗 Ver Mapa</v>
      </c>
    </row>
    <row r="371" spans="1:12" ht="43.5" x14ac:dyDescent="0.35">
      <c r="A371" s="5" t="s">
        <v>8</v>
      </c>
      <c r="B371" s="5" t="s">
        <v>16</v>
      </c>
      <c r="C371" s="5" t="s">
        <v>102</v>
      </c>
      <c r="D371" s="5" t="s">
        <v>35</v>
      </c>
      <c r="E371" s="5" t="s">
        <v>38</v>
      </c>
      <c r="F371" s="5" t="s">
        <v>97</v>
      </c>
      <c r="G371" s="5" t="s">
        <v>98</v>
      </c>
      <c r="H371" s="5" t="s">
        <v>103</v>
      </c>
      <c r="I371" s="5" t="s">
        <v>63</v>
      </c>
      <c r="J371" s="5">
        <v>16.500478276513999</v>
      </c>
      <c r="K371" s="5">
        <v>-97.781301015696002</v>
      </c>
      <c r="L371" s="5" t="str">
        <f>HYPERLINK("https://maps.google.com/?q=16.5004782765136,-97.781301015695604", "🔗 Ver Mapa")</f>
        <v>🔗 Ver Mapa</v>
      </c>
    </row>
    <row r="372" spans="1:12" ht="43.5" x14ac:dyDescent="0.35">
      <c r="A372" s="6" t="s">
        <v>8</v>
      </c>
      <c r="B372" s="6" t="s">
        <v>16</v>
      </c>
      <c r="C372" s="6" t="s">
        <v>102</v>
      </c>
      <c r="D372" s="6" t="s">
        <v>35</v>
      </c>
      <c r="E372" s="6" t="s">
        <v>38</v>
      </c>
      <c r="F372" s="6" t="s">
        <v>97</v>
      </c>
      <c r="G372" s="6" t="s">
        <v>98</v>
      </c>
      <c r="H372" s="6" t="s">
        <v>103</v>
      </c>
      <c r="I372" s="6" t="s">
        <v>63</v>
      </c>
      <c r="J372" s="6">
        <v>16.500610144964998</v>
      </c>
      <c r="K372" s="6">
        <v>-97.780934999999999</v>
      </c>
      <c r="L372" s="6" t="str">
        <f>HYPERLINK("https://maps.google.com/?q=16.5006101449649,-97.780934999999999", "🔗 Ver Mapa")</f>
        <v>🔗 Ver Mapa</v>
      </c>
    </row>
    <row r="373" spans="1:12" ht="43.5" x14ac:dyDescent="0.35">
      <c r="A373" s="5" t="s">
        <v>8</v>
      </c>
      <c r="B373" s="5" t="s">
        <v>16</v>
      </c>
      <c r="C373" s="5" t="s">
        <v>102</v>
      </c>
      <c r="D373" s="5" t="s">
        <v>35</v>
      </c>
      <c r="E373" s="5" t="s">
        <v>38</v>
      </c>
      <c r="F373" s="5" t="s">
        <v>97</v>
      </c>
      <c r="G373" s="5" t="s">
        <v>98</v>
      </c>
      <c r="H373" s="5" t="s">
        <v>103</v>
      </c>
      <c r="I373" s="5" t="s">
        <v>63</v>
      </c>
      <c r="J373" s="5">
        <v>16.500622</v>
      </c>
      <c r="K373" s="5">
        <v>-97.780743000000001</v>
      </c>
      <c r="L373" s="5" t="str">
        <f>HYPERLINK("https://maps.google.com/?q=16.500622,-97.780743000000001", "🔗 Ver Mapa")</f>
        <v>🔗 Ver Mapa</v>
      </c>
    </row>
    <row r="374" spans="1:12" ht="43.5" x14ac:dyDescent="0.35">
      <c r="A374" s="6" t="s">
        <v>8</v>
      </c>
      <c r="B374" s="6" t="s">
        <v>16</v>
      </c>
      <c r="C374" s="6" t="s">
        <v>102</v>
      </c>
      <c r="D374" s="6" t="s">
        <v>35</v>
      </c>
      <c r="E374" s="6" t="s">
        <v>38</v>
      </c>
      <c r="F374" s="6" t="s">
        <v>97</v>
      </c>
      <c r="G374" s="6" t="s">
        <v>98</v>
      </c>
      <c r="H374" s="6" t="s">
        <v>103</v>
      </c>
      <c r="I374" s="6" t="s">
        <v>63</v>
      </c>
      <c r="J374" s="6">
        <v>16.500771</v>
      </c>
      <c r="K374" s="6">
        <v>-97.781340999999998</v>
      </c>
      <c r="L374" s="6" t="str">
        <f>HYPERLINK("https://maps.google.com/?q=16.500771,-97.781340999999998", "🔗 Ver Mapa")</f>
        <v>🔗 Ver Mapa</v>
      </c>
    </row>
    <row r="375" spans="1:12" ht="43.5" x14ac:dyDescent="0.35">
      <c r="A375" s="5" t="s">
        <v>8</v>
      </c>
      <c r="B375" s="5" t="s">
        <v>16</v>
      </c>
      <c r="C375" s="5" t="s">
        <v>102</v>
      </c>
      <c r="D375" s="5" t="s">
        <v>35</v>
      </c>
      <c r="E375" s="5" t="s">
        <v>38</v>
      </c>
      <c r="F375" s="5" t="s">
        <v>97</v>
      </c>
      <c r="G375" s="5" t="s">
        <v>98</v>
      </c>
      <c r="H375" s="5" t="s">
        <v>103</v>
      </c>
      <c r="I375" s="5" t="s">
        <v>63</v>
      </c>
      <c r="J375" s="5">
        <v>16.500815882221001</v>
      </c>
      <c r="K375" s="5">
        <v>-97.780615817127</v>
      </c>
      <c r="L375" s="5" t="str">
        <f>HYPERLINK("https://maps.google.com/?q=16.5008158822213,-97.780615817127", "🔗 Ver Mapa")</f>
        <v>🔗 Ver Mapa</v>
      </c>
    </row>
    <row r="376" spans="1:12" ht="43.5" x14ac:dyDescent="0.35">
      <c r="A376" s="6" t="s">
        <v>8</v>
      </c>
      <c r="B376" s="6" t="s">
        <v>16</v>
      </c>
      <c r="C376" s="6" t="s">
        <v>102</v>
      </c>
      <c r="D376" s="6" t="s">
        <v>35</v>
      </c>
      <c r="E376" s="6" t="s">
        <v>38</v>
      </c>
      <c r="F376" s="6" t="s">
        <v>97</v>
      </c>
      <c r="G376" s="6" t="s">
        <v>98</v>
      </c>
      <c r="H376" s="6" t="s">
        <v>103</v>
      </c>
      <c r="I376" s="6" t="s">
        <v>63</v>
      </c>
      <c r="J376" s="6">
        <v>16.501405999999999</v>
      </c>
      <c r="K376" s="6">
        <v>-97.781233</v>
      </c>
      <c r="L376" s="6" t="str">
        <f>HYPERLINK("https://maps.google.com/?q=16.501406,-97.781233", "🔗 Ver Mapa")</f>
        <v>🔗 Ver Mapa</v>
      </c>
    </row>
    <row r="377" spans="1:12" ht="43.5" x14ac:dyDescent="0.35">
      <c r="A377" s="5" t="s">
        <v>8</v>
      </c>
      <c r="B377" s="5" t="s">
        <v>16</v>
      </c>
      <c r="C377" s="5" t="s">
        <v>104</v>
      </c>
      <c r="D377" s="5" t="s">
        <v>35</v>
      </c>
      <c r="E377" s="5" t="s">
        <v>38</v>
      </c>
      <c r="F377" s="5" t="s">
        <v>97</v>
      </c>
      <c r="G377" s="5" t="s">
        <v>98</v>
      </c>
      <c r="H377" s="5" t="s">
        <v>105</v>
      </c>
      <c r="I377" s="5" t="s">
        <v>63</v>
      </c>
      <c r="J377" s="5">
        <v>16.486257699999999</v>
      </c>
      <c r="K377" s="5">
        <v>-97.580793999999997</v>
      </c>
      <c r="L377" s="5" t="str">
        <f>HYPERLINK("https://maps.google.com/?q=16.4862577,-97.580793999999997", "🔗 Ver Mapa")</f>
        <v>🔗 Ver Mapa</v>
      </c>
    </row>
    <row r="378" spans="1:12" ht="43.5" x14ac:dyDescent="0.35">
      <c r="A378" s="6" t="s">
        <v>8</v>
      </c>
      <c r="B378" s="6" t="s">
        <v>16</v>
      </c>
      <c r="C378" s="6" t="s">
        <v>104</v>
      </c>
      <c r="D378" s="6" t="s">
        <v>35</v>
      </c>
      <c r="E378" s="6" t="s">
        <v>38</v>
      </c>
      <c r="F378" s="6" t="s">
        <v>97</v>
      </c>
      <c r="G378" s="6" t="s">
        <v>98</v>
      </c>
      <c r="H378" s="6" t="s">
        <v>105</v>
      </c>
      <c r="I378" s="6" t="s">
        <v>63</v>
      </c>
      <c r="J378" s="6">
        <v>16.487145054452</v>
      </c>
      <c r="K378" s="6">
        <v>-97.580331863753997</v>
      </c>
      <c r="L378" s="6" t="str">
        <f>HYPERLINK("https://maps.google.com/?q=16.4871450544518,-97.580331863754196", "🔗 Ver Mapa")</f>
        <v>🔗 Ver Mapa</v>
      </c>
    </row>
    <row r="379" spans="1:12" ht="43.5" x14ac:dyDescent="0.35">
      <c r="A379" s="5" t="s">
        <v>8</v>
      </c>
      <c r="B379" s="5" t="s">
        <v>16</v>
      </c>
      <c r="C379" s="5" t="s">
        <v>104</v>
      </c>
      <c r="D379" s="5" t="s">
        <v>35</v>
      </c>
      <c r="E379" s="5" t="s">
        <v>38</v>
      </c>
      <c r="F379" s="5" t="s">
        <v>97</v>
      </c>
      <c r="G379" s="5" t="s">
        <v>98</v>
      </c>
      <c r="H379" s="5" t="s">
        <v>105</v>
      </c>
      <c r="I379" s="5" t="s">
        <v>63</v>
      </c>
      <c r="J379" s="5">
        <v>16.487275030753999</v>
      </c>
      <c r="K379" s="5">
        <v>-97.580058278435004</v>
      </c>
      <c r="L379" s="5" t="str">
        <f>HYPERLINK("https://maps.google.com/?q=16.4872750307543,-97.580058278434905", "🔗 Ver Mapa")</f>
        <v>🔗 Ver Mapa</v>
      </c>
    </row>
    <row r="380" spans="1:12" ht="43.5" x14ac:dyDescent="0.35">
      <c r="A380" s="6" t="s">
        <v>8</v>
      </c>
      <c r="B380" s="6" t="s">
        <v>16</v>
      </c>
      <c r="C380" s="6" t="s">
        <v>104</v>
      </c>
      <c r="D380" s="6" t="s">
        <v>35</v>
      </c>
      <c r="E380" s="6" t="s">
        <v>38</v>
      </c>
      <c r="F380" s="6" t="s">
        <v>97</v>
      </c>
      <c r="G380" s="6" t="s">
        <v>98</v>
      </c>
      <c r="H380" s="6" t="s">
        <v>105</v>
      </c>
      <c r="I380" s="6" t="s">
        <v>63</v>
      </c>
      <c r="J380" s="6">
        <v>16.487670646628001</v>
      </c>
      <c r="K380" s="6">
        <v>-97.581275277453997</v>
      </c>
      <c r="L380" s="6" t="str">
        <f>HYPERLINK("https://maps.google.com/?q=16.4876706466283,-97.581275277454495", "🔗 Ver Mapa")</f>
        <v>🔗 Ver Mapa</v>
      </c>
    </row>
    <row r="381" spans="1:12" ht="43.5" x14ac:dyDescent="0.35">
      <c r="A381" s="5" t="s">
        <v>8</v>
      </c>
      <c r="B381" s="5" t="s">
        <v>16</v>
      </c>
      <c r="C381" s="5" t="s">
        <v>104</v>
      </c>
      <c r="D381" s="5" t="s">
        <v>35</v>
      </c>
      <c r="E381" s="5" t="s">
        <v>38</v>
      </c>
      <c r="F381" s="5" t="s">
        <v>97</v>
      </c>
      <c r="G381" s="5" t="s">
        <v>98</v>
      </c>
      <c r="H381" s="5" t="s">
        <v>105</v>
      </c>
      <c r="I381" s="5" t="s">
        <v>63</v>
      </c>
      <c r="J381" s="5">
        <v>16.488568725004999</v>
      </c>
      <c r="K381" s="5">
        <v>-97.580344999999994</v>
      </c>
      <c r="L381" s="5" t="str">
        <f>HYPERLINK("https://maps.google.com/?q=16.4885687250047,-97.580344999999994", "🔗 Ver Mapa")</f>
        <v>🔗 Ver Mapa</v>
      </c>
    </row>
    <row r="382" spans="1:12" ht="43.5" x14ac:dyDescent="0.35">
      <c r="A382" s="6" t="s">
        <v>8</v>
      </c>
      <c r="B382" s="6" t="s">
        <v>16</v>
      </c>
      <c r="C382" s="6" t="s">
        <v>104</v>
      </c>
      <c r="D382" s="6" t="s">
        <v>35</v>
      </c>
      <c r="E382" s="6" t="s">
        <v>38</v>
      </c>
      <c r="F382" s="6" t="s">
        <v>97</v>
      </c>
      <c r="G382" s="6" t="s">
        <v>98</v>
      </c>
      <c r="H382" s="6" t="s">
        <v>105</v>
      </c>
      <c r="I382" s="6" t="s">
        <v>63</v>
      </c>
      <c r="J382" s="6">
        <v>16.488683000000002</v>
      </c>
      <c r="K382" s="6">
        <v>-97.578610999999995</v>
      </c>
      <c r="L382" s="6" t="str">
        <f>HYPERLINK("https://maps.google.com/?q=16.488683,-97.578610999999995", "🔗 Ver Mapa")</f>
        <v>🔗 Ver Mapa</v>
      </c>
    </row>
    <row r="383" spans="1:12" ht="43.5" x14ac:dyDescent="0.35">
      <c r="A383" s="5" t="s">
        <v>8</v>
      </c>
      <c r="B383" s="5" t="s">
        <v>16</v>
      </c>
      <c r="C383" s="5" t="s">
        <v>104</v>
      </c>
      <c r="D383" s="5" t="s">
        <v>35</v>
      </c>
      <c r="E383" s="5" t="s">
        <v>38</v>
      </c>
      <c r="F383" s="5" t="s">
        <v>97</v>
      </c>
      <c r="G383" s="5" t="s">
        <v>98</v>
      </c>
      <c r="H383" s="5" t="s">
        <v>105</v>
      </c>
      <c r="I383" s="5" t="s">
        <v>63</v>
      </c>
      <c r="J383" s="5">
        <v>16.488741999999998</v>
      </c>
      <c r="K383" s="5">
        <v>-97.576903000000001</v>
      </c>
      <c r="L383" s="5" t="str">
        <f>HYPERLINK("https://maps.google.com/?q=16.488742,-97.576903000000001", "🔗 Ver Mapa")</f>
        <v>🔗 Ver Mapa</v>
      </c>
    </row>
    <row r="384" spans="1:12" ht="43.5" x14ac:dyDescent="0.35">
      <c r="A384" s="6" t="s">
        <v>8</v>
      </c>
      <c r="B384" s="6" t="s">
        <v>16</v>
      </c>
      <c r="C384" s="6" t="s">
        <v>104</v>
      </c>
      <c r="D384" s="6" t="s">
        <v>35</v>
      </c>
      <c r="E384" s="6" t="s">
        <v>38</v>
      </c>
      <c r="F384" s="6" t="s">
        <v>97</v>
      </c>
      <c r="G384" s="6" t="s">
        <v>98</v>
      </c>
      <c r="H384" s="6" t="s">
        <v>105</v>
      </c>
      <c r="I384" s="6" t="s">
        <v>63</v>
      </c>
      <c r="J384" s="6">
        <v>16.489204146380001</v>
      </c>
      <c r="K384" s="6">
        <v>-97.579597457671994</v>
      </c>
      <c r="L384" s="6" t="str">
        <f>HYPERLINK("https://maps.google.com/?q=16.48920414638,-97.579597457672094", "🔗 Ver Mapa")</f>
        <v>🔗 Ver Mapa</v>
      </c>
    </row>
    <row r="385" spans="1:12" ht="43.5" x14ac:dyDescent="0.35">
      <c r="A385" s="5" t="s">
        <v>8</v>
      </c>
      <c r="B385" s="5" t="s">
        <v>16</v>
      </c>
      <c r="C385" s="5" t="s">
        <v>104</v>
      </c>
      <c r="D385" s="5" t="s">
        <v>35</v>
      </c>
      <c r="E385" s="5" t="s">
        <v>38</v>
      </c>
      <c r="F385" s="5" t="s">
        <v>97</v>
      </c>
      <c r="G385" s="5" t="s">
        <v>98</v>
      </c>
      <c r="H385" s="5" t="s">
        <v>105</v>
      </c>
      <c r="I385" s="5" t="s">
        <v>63</v>
      </c>
      <c r="J385" s="5">
        <v>16.490027999999999</v>
      </c>
      <c r="K385" s="5">
        <v>-97.580570800000004</v>
      </c>
      <c r="L385" s="5" t="str">
        <f>HYPERLINK("https://maps.google.com/?q=16.490028,-97.580570800000004", "🔗 Ver Mapa")</f>
        <v>🔗 Ver Mapa</v>
      </c>
    </row>
    <row r="386" spans="1:12" ht="43.5" x14ac:dyDescent="0.35">
      <c r="A386" s="6" t="s">
        <v>8</v>
      </c>
      <c r="B386" s="6" t="s">
        <v>16</v>
      </c>
      <c r="C386" s="6" t="s">
        <v>104</v>
      </c>
      <c r="D386" s="6" t="s">
        <v>35</v>
      </c>
      <c r="E386" s="6" t="s">
        <v>38</v>
      </c>
      <c r="F386" s="6" t="s">
        <v>97</v>
      </c>
      <c r="G386" s="6" t="s">
        <v>98</v>
      </c>
      <c r="H386" s="6" t="s">
        <v>105</v>
      </c>
      <c r="I386" s="6" t="s">
        <v>63</v>
      </c>
      <c r="J386" s="6">
        <v>16.490039290172</v>
      </c>
      <c r="K386" s="6">
        <v>-97.576143635582</v>
      </c>
      <c r="L386" s="6" t="str">
        <f>HYPERLINK("https://maps.google.com/?q=16.4900392901721,-97.576143635582", "🔗 Ver Mapa")</f>
        <v>🔗 Ver Mapa</v>
      </c>
    </row>
    <row r="387" spans="1:12" ht="43.5" x14ac:dyDescent="0.35">
      <c r="A387" s="5" t="s">
        <v>8</v>
      </c>
      <c r="B387" s="5" t="s">
        <v>16</v>
      </c>
      <c r="C387" s="5" t="s">
        <v>104</v>
      </c>
      <c r="D387" s="5" t="s">
        <v>35</v>
      </c>
      <c r="E387" s="5" t="s">
        <v>38</v>
      </c>
      <c r="F387" s="5" t="s">
        <v>97</v>
      </c>
      <c r="G387" s="5" t="s">
        <v>98</v>
      </c>
      <c r="H387" s="5" t="s">
        <v>105</v>
      </c>
      <c r="I387" s="5" t="s">
        <v>63</v>
      </c>
      <c r="J387" s="5">
        <v>16.490185579268001</v>
      </c>
      <c r="K387" s="5">
        <v>-97.580426495701005</v>
      </c>
      <c r="L387" s="5" t="str">
        <f>HYPERLINK("https://maps.google.com/?q=16.4901855792676,-97.580426495700607", "🔗 Ver Mapa")</f>
        <v>🔗 Ver Mapa</v>
      </c>
    </row>
    <row r="388" spans="1:12" ht="43.5" x14ac:dyDescent="0.35">
      <c r="A388" s="6" t="s">
        <v>8</v>
      </c>
      <c r="B388" s="6" t="s">
        <v>16</v>
      </c>
      <c r="C388" s="6" t="s">
        <v>104</v>
      </c>
      <c r="D388" s="6" t="s">
        <v>35</v>
      </c>
      <c r="E388" s="6" t="s">
        <v>38</v>
      </c>
      <c r="F388" s="6" t="s">
        <v>97</v>
      </c>
      <c r="G388" s="6" t="s">
        <v>98</v>
      </c>
      <c r="H388" s="6" t="s">
        <v>105</v>
      </c>
      <c r="I388" s="6" t="s">
        <v>63</v>
      </c>
      <c r="J388" s="6">
        <v>16.490401001034002</v>
      </c>
      <c r="K388" s="6">
        <v>-97.581441355278997</v>
      </c>
      <c r="L388" s="6" t="str">
        <f>HYPERLINK("https://maps.google.com/?q=16.4904010010338,-97.581441355279495", "🔗 Ver Mapa")</f>
        <v>🔗 Ver Mapa</v>
      </c>
    </row>
    <row r="389" spans="1:12" ht="43.5" x14ac:dyDescent="0.35">
      <c r="A389" s="5" t="s">
        <v>8</v>
      </c>
      <c r="B389" s="5" t="s">
        <v>16</v>
      </c>
      <c r="C389" s="5" t="s">
        <v>104</v>
      </c>
      <c r="D389" s="5" t="s">
        <v>35</v>
      </c>
      <c r="E389" s="5" t="s">
        <v>38</v>
      </c>
      <c r="F389" s="5" t="s">
        <v>97</v>
      </c>
      <c r="G389" s="5" t="s">
        <v>98</v>
      </c>
      <c r="H389" s="5" t="s">
        <v>105</v>
      </c>
      <c r="I389" s="5" t="s">
        <v>63</v>
      </c>
      <c r="J389" s="5">
        <v>16.490425999999999</v>
      </c>
      <c r="K389" s="5">
        <v>-97.581055000000006</v>
      </c>
      <c r="L389" s="5" t="str">
        <f>HYPERLINK("https://maps.google.com/?q=16.490426,-97.581055000000006", "🔗 Ver Mapa")</f>
        <v>🔗 Ver Mapa</v>
      </c>
    </row>
    <row r="390" spans="1:12" ht="43.5" x14ac:dyDescent="0.35">
      <c r="A390" s="6" t="s">
        <v>8</v>
      </c>
      <c r="B390" s="6" t="s">
        <v>16</v>
      </c>
      <c r="C390" s="6" t="s">
        <v>104</v>
      </c>
      <c r="D390" s="6" t="s">
        <v>35</v>
      </c>
      <c r="E390" s="6" t="s">
        <v>38</v>
      </c>
      <c r="F390" s="6" t="s">
        <v>97</v>
      </c>
      <c r="G390" s="6" t="s">
        <v>98</v>
      </c>
      <c r="H390" s="6" t="s">
        <v>105</v>
      </c>
      <c r="I390" s="6" t="s">
        <v>63</v>
      </c>
      <c r="J390" s="6">
        <v>16.490465719854001</v>
      </c>
      <c r="K390" s="6">
        <v>-97.581368918403001</v>
      </c>
      <c r="L390" s="6" t="str">
        <f>HYPERLINK("https://maps.google.com/?q=16.4904657198541,-97.581368918402703", "🔗 Ver Mapa")</f>
        <v>🔗 Ver Mapa</v>
      </c>
    </row>
    <row r="391" spans="1:12" ht="43.5" x14ac:dyDescent="0.35">
      <c r="A391" s="5" t="s">
        <v>8</v>
      </c>
      <c r="B391" s="5" t="s">
        <v>16</v>
      </c>
      <c r="C391" s="5" t="s">
        <v>104</v>
      </c>
      <c r="D391" s="5" t="s">
        <v>35</v>
      </c>
      <c r="E391" s="5" t="s">
        <v>38</v>
      </c>
      <c r="F391" s="5" t="s">
        <v>97</v>
      </c>
      <c r="G391" s="5" t="s">
        <v>98</v>
      </c>
      <c r="H391" s="5" t="s">
        <v>105</v>
      </c>
      <c r="I391" s="5" t="s">
        <v>63</v>
      </c>
      <c r="J391" s="5">
        <v>16.491002936181001</v>
      </c>
      <c r="K391" s="5">
        <v>-97.577673674525997</v>
      </c>
      <c r="L391" s="5" t="str">
        <f>HYPERLINK("https://maps.google.com/?q=16.4910029361808,-97.577673674525997", "🔗 Ver Mapa")</f>
        <v>🔗 Ver Mapa</v>
      </c>
    </row>
    <row r="392" spans="1:12" ht="43.5" x14ac:dyDescent="0.35">
      <c r="A392" s="6" t="s">
        <v>8</v>
      </c>
      <c r="B392" s="6" t="s">
        <v>16</v>
      </c>
      <c r="C392" s="6" t="s">
        <v>104</v>
      </c>
      <c r="D392" s="6" t="s">
        <v>35</v>
      </c>
      <c r="E392" s="6" t="s">
        <v>38</v>
      </c>
      <c r="F392" s="6" t="s">
        <v>97</v>
      </c>
      <c r="G392" s="6" t="s">
        <v>98</v>
      </c>
      <c r="H392" s="6" t="s">
        <v>105</v>
      </c>
      <c r="I392" s="6" t="s">
        <v>63</v>
      </c>
      <c r="J392" s="6">
        <v>16.491371000000001</v>
      </c>
      <c r="K392" s="6">
        <v>-97.580239000000006</v>
      </c>
      <c r="L392" s="6" t="str">
        <f>HYPERLINK("https://maps.google.com/?q=16.491371,-97.580239000000006", "🔗 Ver Mapa")</f>
        <v>🔗 Ver Mapa</v>
      </c>
    </row>
    <row r="393" spans="1:12" ht="43.5" x14ac:dyDescent="0.35">
      <c r="A393" s="5" t="s">
        <v>8</v>
      </c>
      <c r="B393" s="5" t="s">
        <v>16</v>
      </c>
      <c r="C393" s="5" t="s">
        <v>104</v>
      </c>
      <c r="D393" s="5" t="s">
        <v>35</v>
      </c>
      <c r="E393" s="5" t="s">
        <v>38</v>
      </c>
      <c r="F393" s="5" t="s">
        <v>97</v>
      </c>
      <c r="G393" s="5" t="s">
        <v>98</v>
      </c>
      <c r="H393" s="5" t="s">
        <v>105</v>
      </c>
      <c r="I393" s="5" t="s">
        <v>63</v>
      </c>
      <c r="J393" s="5">
        <v>16.491396432910001</v>
      </c>
      <c r="K393" s="5">
        <v>-97.580849412150002</v>
      </c>
      <c r="L393" s="5" t="str">
        <f>HYPERLINK("https://maps.google.com/?q=16.4913964329104,-97.580849412149604", "🔗 Ver Mapa")</f>
        <v>🔗 Ver Mapa</v>
      </c>
    </row>
    <row r="394" spans="1:12" ht="43.5" x14ac:dyDescent="0.35">
      <c r="A394" s="6" t="s">
        <v>8</v>
      </c>
      <c r="B394" s="6" t="s">
        <v>16</v>
      </c>
      <c r="C394" s="6" t="s">
        <v>104</v>
      </c>
      <c r="D394" s="6" t="s">
        <v>35</v>
      </c>
      <c r="E394" s="6" t="s">
        <v>38</v>
      </c>
      <c r="F394" s="6" t="s">
        <v>97</v>
      </c>
      <c r="G394" s="6" t="s">
        <v>98</v>
      </c>
      <c r="H394" s="6" t="s">
        <v>105</v>
      </c>
      <c r="I394" s="6" t="s">
        <v>63</v>
      </c>
      <c r="J394" s="6">
        <v>16.49153829159</v>
      </c>
      <c r="K394" s="6">
        <v>-97.580427</v>
      </c>
      <c r="L394" s="6" t="str">
        <f>HYPERLINK("https://maps.google.com/?q=16.4915382915901,-97.580426999999901", "🔗 Ver Mapa")</f>
        <v>🔗 Ver Mapa</v>
      </c>
    </row>
    <row r="395" spans="1:12" ht="43.5" x14ac:dyDescent="0.35">
      <c r="A395" s="5" t="s">
        <v>8</v>
      </c>
      <c r="B395" s="5" t="s">
        <v>16</v>
      </c>
      <c r="C395" s="5" t="s">
        <v>104</v>
      </c>
      <c r="D395" s="5" t="s">
        <v>35</v>
      </c>
      <c r="E395" s="5" t="s">
        <v>38</v>
      </c>
      <c r="F395" s="5" t="s">
        <v>97</v>
      </c>
      <c r="G395" s="5" t="s">
        <v>98</v>
      </c>
      <c r="H395" s="5" t="s">
        <v>105</v>
      </c>
      <c r="I395" s="5" t="s">
        <v>63</v>
      </c>
      <c r="J395" s="5">
        <v>16.491817000000001</v>
      </c>
      <c r="K395" s="5">
        <v>-97.584709000000004</v>
      </c>
      <c r="L395" s="5" t="str">
        <f>HYPERLINK("https://maps.google.com/?q=16.491817,-97.584709000000004", "🔗 Ver Mapa")</f>
        <v>🔗 Ver Mapa</v>
      </c>
    </row>
    <row r="396" spans="1:12" ht="43.5" x14ac:dyDescent="0.35">
      <c r="A396" s="6" t="s">
        <v>8</v>
      </c>
      <c r="B396" s="6" t="s">
        <v>16</v>
      </c>
      <c r="C396" s="6" t="s">
        <v>104</v>
      </c>
      <c r="D396" s="6" t="s">
        <v>35</v>
      </c>
      <c r="E396" s="6" t="s">
        <v>38</v>
      </c>
      <c r="F396" s="6" t="s">
        <v>97</v>
      </c>
      <c r="G396" s="6" t="s">
        <v>98</v>
      </c>
      <c r="H396" s="6" t="s">
        <v>105</v>
      </c>
      <c r="I396" s="6" t="s">
        <v>63</v>
      </c>
      <c r="J396" s="6">
        <v>16.491997999999999</v>
      </c>
      <c r="K396" s="6">
        <v>-97.581384999999997</v>
      </c>
      <c r="L396" s="6" t="str">
        <f>HYPERLINK("https://maps.google.com/?q=16.491998,-97.581384999999997", "🔗 Ver Mapa")</f>
        <v>🔗 Ver Mapa</v>
      </c>
    </row>
    <row r="397" spans="1:12" ht="43.5" x14ac:dyDescent="0.35">
      <c r="A397" s="5" t="s">
        <v>8</v>
      </c>
      <c r="B397" s="5" t="s">
        <v>16</v>
      </c>
      <c r="C397" s="5" t="s">
        <v>104</v>
      </c>
      <c r="D397" s="5" t="s">
        <v>35</v>
      </c>
      <c r="E397" s="5" t="s">
        <v>38</v>
      </c>
      <c r="F397" s="5" t="s">
        <v>97</v>
      </c>
      <c r="G397" s="5" t="s">
        <v>98</v>
      </c>
      <c r="H397" s="5" t="s">
        <v>105</v>
      </c>
      <c r="I397" s="5" t="s">
        <v>63</v>
      </c>
      <c r="J397" s="5">
        <v>16.492284864876002</v>
      </c>
      <c r="K397" s="5">
        <v>-97.584912224537007</v>
      </c>
      <c r="L397" s="5" t="str">
        <f>HYPERLINK("https://maps.google.com/?q=16.492284864876,-97.584912224536694", "🔗 Ver Mapa")</f>
        <v>🔗 Ver Mapa</v>
      </c>
    </row>
    <row r="398" spans="1:12" ht="43.5" x14ac:dyDescent="0.35">
      <c r="A398" s="6" t="s">
        <v>8</v>
      </c>
      <c r="B398" s="6" t="s">
        <v>16</v>
      </c>
      <c r="C398" s="6" t="s">
        <v>104</v>
      </c>
      <c r="D398" s="6" t="s">
        <v>35</v>
      </c>
      <c r="E398" s="6" t="s">
        <v>38</v>
      </c>
      <c r="F398" s="6" t="s">
        <v>97</v>
      </c>
      <c r="G398" s="6" t="s">
        <v>98</v>
      </c>
      <c r="H398" s="6" t="s">
        <v>105</v>
      </c>
      <c r="I398" s="6" t="s">
        <v>63</v>
      </c>
      <c r="J398" s="6">
        <v>16.492786284076999</v>
      </c>
      <c r="K398" s="6">
        <v>-97.583068317791003</v>
      </c>
      <c r="L398" s="6" t="str">
        <f>HYPERLINK("https://maps.google.com/?q=16.4927862840772,-97.583068317791003", "🔗 Ver Mapa")</f>
        <v>🔗 Ver Mapa</v>
      </c>
    </row>
    <row r="399" spans="1:12" ht="43.5" x14ac:dyDescent="0.35">
      <c r="A399" s="5" t="s">
        <v>8</v>
      </c>
      <c r="B399" s="5" t="s">
        <v>16</v>
      </c>
      <c r="C399" s="5" t="s">
        <v>104</v>
      </c>
      <c r="D399" s="5" t="s">
        <v>35</v>
      </c>
      <c r="E399" s="5" t="s">
        <v>38</v>
      </c>
      <c r="F399" s="5" t="s">
        <v>97</v>
      </c>
      <c r="G399" s="5" t="s">
        <v>98</v>
      </c>
      <c r="H399" s="5" t="s">
        <v>105</v>
      </c>
      <c r="I399" s="5" t="s">
        <v>63</v>
      </c>
      <c r="J399" s="5">
        <v>16.493566999999999</v>
      </c>
      <c r="K399" s="5">
        <v>-97.584761999999998</v>
      </c>
      <c r="L399" s="5" t="str">
        <f>HYPERLINK("https://maps.google.com/?q=16.493567,-97.584761999999998", "🔗 Ver Mapa")</f>
        <v>🔗 Ver Mapa</v>
      </c>
    </row>
    <row r="400" spans="1:12" ht="43.5" x14ac:dyDescent="0.35">
      <c r="A400" s="6" t="s">
        <v>8</v>
      </c>
      <c r="B400" s="6" t="s">
        <v>16</v>
      </c>
      <c r="C400" s="6" t="s">
        <v>104</v>
      </c>
      <c r="D400" s="6" t="s">
        <v>35</v>
      </c>
      <c r="E400" s="6" t="s">
        <v>38</v>
      </c>
      <c r="F400" s="6" t="s">
        <v>97</v>
      </c>
      <c r="G400" s="6" t="s">
        <v>98</v>
      </c>
      <c r="H400" s="6" t="s">
        <v>105</v>
      </c>
      <c r="I400" s="6" t="s">
        <v>63</v>
      </c>
      <c r="J400" s="6">
        <v>16.495735793224</v>
      </c>
      <c r="K400" s="6">
        <v>-97.583526848462</v>
      </c>
      <c r="L400" s="6" t="str">
        <f>HYPERLINK("https://maps.google.com/?q=16.4957357932244,-97.583526848462", "🔗 Ver Mapa")</f>
        <v>🔗 Ver Mapa</v>
      </c>
    </row>
    <row r="401" spans="1:12" ht="43.5" x14ac:dyDescent="0.35">
      <c r="A401" s="5" t="s">
        <v>8</v>
      </c>
      <c r="B401" s="5" t="s">
        <v>16</v>
      </c>
      <c r="C401" s="5" t="s">
        <v>104</v>
      </c>
      <c r="D401" s="5" t="s">
        <v>35</v>
      </c>
      <c r="E401" s="5" t="s">
        <v>38</v>
      </c>
      <c r="F401" s="5" t="s">
        <v>97</v>
      </c>
      <c r="G401" s="5" t="s">
        <v>98</v>
      </c>
      <c r="H401" s="5" t="s">
        <v>105</v>
      </c>
      <c r="I401" s="5" t="s">
        <v>63</v>
      </c>
      <c r="J401" s="5">
        <v>16.495975000000001</v>
      </c>
      <c r="K401" s="5">
        <v>-97.584142</v>
      </c>
      <c r="L401" s="5" t="str">
        <f>HYPERLINK("https://maps.google.com/?q=16.495975,-97.584142", "🔗 Ver Mapa")</f>
        <v>🔗 Ver Mapa</v>
      </c>
    </row>
    <row r="402" spans="1:12" ht="43.5" x14ac:dyDescent="0.35">
      <c r="A402" s="6" t="s">
        <v>8</v>
      </c>
      <c r="B402" s="6" t="s">
        <v>16</v>
      </c>
      <c r="C402" s="6" t="s">
        <v>104</v>
      </c>
      <c r="D402" s="6" t="s">
        <v>35</v>
      </c>
      <c r="E402" s="6" t="s">
        <v>38</v>
      </c>
      <c r="F402" s="6" t="s">
        <v>97</v>
      </c>
      <c r="G402" s="6" t="s">
        <v>98</v>
      </c>
      <c r="H402" s="6" t="s">
        <v>105</v>
      </c>
      <c r="I402" s="6" t="s">
        <v>63</v>
      </c>
      <c r="J402" s="6">
        <v>16.496039719334</v>
      </c>
      <c r="K402" s="6">
        <v>-97.584039612268</v>
      </c>
      <c r="L402" s="6" t="str">
        <f>HYPERLINK("https://maps.google.com/?q=16.4960397193343,-97.584039612268398", "🔗 Ver Mapa")</f>
        <v>🔗 Ver Mapa</v>
      </c>
    </row>
    <row r="403" spans="1:12" ht="43.5" x14ac:dyDescent="0.35">
      <c r="A403" s="5" t="s">
        <v>8</v>
      </c>
      <c r="B403" s="5" t="s">
        <v>16</v>
      </c>
      <c r="C403" s="5" t="s">
        <v>104</v>
      </c>
      <c r="D403" s="5" t="s">
        <v>35</v>
      </c>
      <c r="E403" s="5" t="s">
        <v>38</v>
      </c>
      <c r="F403" s="5" t="s">
        <v>97</v>
      </c>
      <c r="G403" s="5" t="s">
        <v>98</v>
      </c>
      <c r="H403" s="5" t="s">
        <v>105</v>
      </c>
      <c r="I403" s="5" t="s">
        <v>63</v>
      </c>
      <c r="J403" s="5">
        <v>16.496173005226002</v>
      </c>
      <c r="K403" s="5">
        <v>-97.585054985284998</v>
      </c>
      <c r="L403" s="5" t="str">
        <f>HYPERLINK("https://maps.google.com/?q=16.4961730052258,-97.5850549852847", "🔗 Ver Mapa")</f>
        <v>🔗 Ver Mapa</v>
      </c>
    </row>
    <row r="404" spans="1:12" ht="43.5" x14ac:dyDescent="0.35">
      <c r="A404" s="6" t="s">
        <v>8</v>
      </c>
      <c r="B404" s="6" t="s">
        <v>16</v>
      </c>
      <c r="C404" s="6" t="s">
        <v>104</v>
      </c>
      <c r="D404" s="6" t="s">
        <v>35</v>
      </c>
      <c r="E404" s="6" t="s">
        <v>38</v>
      </c>
      <c r="F404" s="6" t="s">
        <v>97</v>
      </c>
      <c r="G404" s="6" t="s">
        <v>98</v>
      </c>
      <c r="H404" s="6" t="s">
        <v>105</v>
      </c>
      <c r="I404" s="6" t="s">
        <v>63</v>
      </c>
      <c r="J404" s="6">
        <v>16.496223148871</v>
      </c>
      <c r="K404" s="6">
        <v>-97.584777081596997</v>
      </c>
      <c r="L404" s="6" t="str">
        <f>HYPERLINK("https://maps.google.com/?q=16.4962231488712,-97.584777081597295", "🔗 Ver Mapa")</f>
        <v>🔗 Ver Mapa</v>
      </c>
    </row>
    <row r="405" spans="1:12" ht="43.5" x14ac:dyDescent="0.35">
      <c r="A405" s="5" t="s">
        <v>8</v>
      </c>
      <c r="B405" s="5" t="s">
        <v>16</v>
      </c>
      <c r="C405" s="5" t="s">
        <v>106</v>
      </c>
      <c r="D405" s="5" t="s">
        <v>35</v>
      </c>
      <c r="E405" s="5" t="s">
        <v>37</v>
      </c>
      <c r="F405" s="5" t="s">
        <v>83</v>
      </c>
      <c r="G405" s="5" t="s">
        <v>107</v>
      </c>
      <c r="H405" s="5" t="s">
        <v>108</v>
      </c>
      <c r="I405" s="5" t="s">
        <v>63</v>
      </c>
      <c r="J405" s="5">
        <v>17.397113640000001</v>
      </c>
      <c r="K405" s="5">
        <v>-96.92663091</v>
      </c>
      <c r="L405" s="5" t="str">
        <f>HYPERLINK("https://maps.google.com/?q=17.39711364,-96.92663091", "🔗 Ver Mapa")</f>
        <v>🔗 Ver Mapa</v>
      </c>
    </row>
    <row r="406" spans="1:12" ht="43.5" x14ac:dyDescent="0.35">
      <c r="A406" s="6" t="s">
        <v>8</v>
      </c>
      <c r="B406" s="6" t="s">
        <v>16</v>
      </c>
      <c r="C406" s="6" t="s">
        <v>106</v>
      </c>
      <c r="D406" s="6" t="s">
        <v>35</v>
      </c>
      <c r="E406" s="6" t="s">
        <v>37</v>
      </c>
      <c r="F406" s="6" t="s">
        <v>83</v>
      </c>
      <c r="G406" s="6" t="s">
        <v>107</v>
      </c>
      <c r="H406" s="6" t="s">
        <v>108</v>
      </c>
      <c r="I406" s="6" t="s">
        <v>63</v>
      </c>
      <c r="J406" s="6">
        <v>17.399466969999999</v>
      </c>
      <c r="K406" s="6">
        <v>-96.927656720000002</v>
      </c>
      <c r="L406" s="6" t="str">
        <f>HYPERLINK("https://maps.google.com/?q=17.39946697,-96.927656720000002", "🔗 Ver Mapa")</f>
        <v>🔗 Ver Mapa</v>
      </c>
    </row>
    <row r="407" spans="1:12" ht="43.5" x14ac:dyDescent="0.35">
      <c r="A407" s="5" t="s">
        <v>8</v>
      </c>
      <c r="B407" s="5" t="s">
        <v>16</v>
      </c>
      <c r="C407" s="5" t="s">
        <v>106</v>
      </c>
      <c r="D407" s="5" t="s">
        <v>35</v>
      </c>
      <c r="E407" s="5" t="s">
        <v>37</v>
      </c>
      <c r="F407" s="5" t="s">
        <v>83</v>
      </c>
      <c r="G407" s="5" t="s">
        <v>107</v>
      </c>
      <c r="H407" s="5" t="s">
        <v>108</v>
      </c>
      <c r="I407" s="5" t="s">
        <v>63</v>
      </c>
      <c r="J407" s="5">
        <v>17.399910309999999</v>
      </c>
      <c r="K407" s="5">
        <v>-96.927973359999996</v>
      </c>
      <c r="L407" s="5" t="str">
        <f>HYPERLINK("https://maps.google.com/?q=17.39991031,-96.927973359999996", "🔗 Ver Mapa")</f>
        <v>🔗 Ver Mapa</v>
      </c>
    </row>
    <row r="408" spans="1:12" ht="43.5" x14ac:dyDescent="0.35">
      <c r="A408" s="6" t="s">
        <v>8</v>
      </c>
      <c r="B408" s="6" t="s">
        <v>16</v>
      </c>
      <c r="C408" s="6" t="s">
        <v>106</v>
      </c>
      <c r="D408" s="6" t="s">
        <v>35</v>
      </c>
      <c r="E408" s="6" t="s">
        <v>37</v>
      </c>
      <c r="F408" s="6" t="s">
        <v>83</v>
      </c>
      <c r="G408" s="6" t="s">
        <v>107</v>
      </c>
      <c r="H408" s="6" t="s">
        <v>108</v>
      </c>
      <c r="I408" s="6" t="s">
        <v>63</v>
      </c>
      <c r="J408" s="6">
        <v>17.400620910000001</v>
      </c>
      <c r="K408" s="6">
        <v>-96.928046780000003</v>
      </c>
      <c r="L408" s="6" t="str">
        <f>HYPERLINK("https://maps.google.com/?q=17.40062091,-96.928046780000003", "🔗 Ver Mapa")</f>
        <v>🔗 Ver Mapa</v>
      </c>
    </row>
    <row r="409" spans="1:12" ht="43.5" x14ac:dyDescent="0.35">
      <c r="A409" s="5" t="s">
        <v>8</v>
      </c>
      <c r="B409" s="5" t="s">
        <v>16</v>
      </c>
      <c r="C409" s="5" t="s">
        <v>106</v>
      </c>
      <c r="D409" s="5" t="s">
        <v>35</v>
      </c>
      <c r="E409" s="5" t="s">
        <v>37</v>
      </c>
      <c r="F409" s="5" t="s">
        <v>83</v>
      </c>
      <c r="G409" s="5" t="s">
        <v>107</v>
      </c>
      <c r="H409" s="5" t="s">
        <v>108</v>
      </c>
      <c r="I409" s="5" t="s">
        <v>63</v>
      </c>
      <c r="J409" s="5">
        <v>17.400853999999999</v>
      </c>
      <c r="K409" s="5">
        <v>-96.927927999999994</v>
      </c>
      <c r="L409" s="5" t="str">
        <f>HYPERLINK("https://maps.google.com/?q=17.400854,-96.927927999999994", "🔗 Ver Mapa")</f>
        <v>🔗 Ver Mapa</v>
      </c>
    </row>
    <row r="410" spans="1:12" ht="43.5" x14ac:dyDescent="0.35">
      <c r="A410" s="6" t="s">
        <v>8</v>
      </c>
      <c r="B410" s="6" t="s">
        <v>16</v>
      </c>
      <c r="C410" s="6" t="s">
        <v>106</v>
      </c>
      <c r="D410" s="6" t="s">
        <v>35</v>
      </c>
      <c r="E410" s="6" t="s">
        <v>37</v>
      </c>
      <c r="F410" s="6" t="s">
        <v>83</v>
      </c>
      <c r="G410" s="6" t="s">
        <v>107</v>
      </c>
      <c r="H410" s="6" t="s">
        <v>108</v>
      </c>
      <c r="I410" s="6" t="s">
        <v>63</v>
      </c>
      <c r="J410" s="6">
        <v>17.401007150000002</v>
      </c>
      <c r="K410" s="6">
        <v>-96.927878919999998</v>
      </c>
      <c r="L410" s="6" t="str">
        <f>HYPERLINK("https://maps.google.com/?q=17.40100715,-96.927878919999998", "🔗 Ver Mapa")</f>
        <v>🔗 Ver Mapa</v>
      </c>
    </row>
    <row r="411" spans="1:12" ht="43.5" x14ac:dyDescent="0.35">
      <c r="A411" s="5" t="s">
        <v>8</v>
      </c>
      <c r="B411" s="5" t="s">
        <v>16</v>
      </c>
      <c r="C411" s="5" t="s">
        <v>106</v>
      </c>
      <c r="D411" s="5" t="s">
        <v>35</v>
      </c>
      <c r="E411" s="5" t="s">
        <v>37</v>
      </c>
      <c r="F411" s="5" t="s">
        <v>83</v>
      </c>
      <c r="G411" s="5" t="s">
        <v>107</v>
      </c>
      <c r="H411" s="5" t="s">
        <v>108</v>
      </c>
      <c r="I411" s="5" t="s">
        <v>63</v>
      </c>
      <c r="J411" s="5">
        <v>17.40110185</v>
      </c>
      <c r="K411" s="5">
        <v>-96.927771629999995</v>
      </c>
      <c r="L411" s="5" t="str">
        <f>HYPERLINK("https://maps.google.com/?q=17.40110185,-96.927771629999995", "🔗 Ver Mapa")</f>
        <v>🔗 Ver Mapa</v>
      </c>
    </row>
    <row r="412" spans="1:12" ht="43.5" x14ac:dyDescent="0.35">
      <c r="A412" s="6" t="s">
        <v>8</v>
      </c>
      <c r="B412" s="6" t="s">
        <v>16</v>
      </c>
      <c r="C412" s="6" t="s">
        <v>106</v>
      </c>
      <c r="D412" s="6" t="s">
        <v>35</v>
      </c>
      <c r="E412" s="6" t="s">
        <v>37</v>
      </c>
      <c r="F412" s="6" t="s">
        <v>83</v>
      </c>
      <c r="G412" s="6" t="s">
        <v>107</v>
      </c>
      <c r="H412" s="6" t="s">
        <v>108</v>
      </c>
      <c r="I412" s="6" t="s">
        <v>63</v>
      </c>
      <c r="J412" s="6">
        <v>17.40112839</v>
      </c>
      <c r="K412" s="6">
        <v>-96.927410589999994</v>
      </c>
      <c r="L412" s="6" t="str">
        <f>HYPERLINK("https://maps.google.com/?q=17.40112839,-96.927410589999994", "🔗 Ver Mapa")</f>
        <v>🔗 Ver Mapa</v>
      </c>
    </row>
    <row r="413" spans="1:12" ht="43.5" x14ac:dyDescent="0.35">
      <c r="A413" s="5" t="s">
        <v>8</v>
      </c>
      <c r="B413" s="5" t="s">
        <v>16</v>
      </c>
      <c r="C413" s="5" t="s">
        <v>106</v>
      </c>
      <c r="D413" s="5" t="s">
        <v>35</v>
      </c>
      <c r="E413" s="5" t="s">
        <v>37</v>
      </c>
      <c r="F413" s="5" t="s">
        <v>83</v>
      </c>
      <c r="G413" s="5" t="s">
        <v>107</v>
      </c>
      <c r="H413" s="5" t="s">
        <v>108</v>
      </c>
      <c r="I413" s="5" t="s">
        <v>63</v>
      </c>
      <c r="J413" s="5">
        <v>17.402315999999999</v>
      </c>
      <c r="K413" s="5">
        <v>-96.927091000000004</v>
      </c>
      <c r="L413" s="5" t="str">
        <f>HYPERLINK("https://maps.google.com/?q=17.402316,-96.927091000000004", "🔗 Ver Mapa")</f>
        <v>🔗 Ver Mapa</v>
      </c>
    </row>
    <row r="414" spans="1:12" ht="43.5" x14ac:dyDescent="0.35">
      <c r="A414" s="6" t="s">
        <v>8</v>
      </c>
      <c r="B414" s="6" t="s">
        <v>16</v>
      </c>
      <c r="C414" s="6" t="s">
        <v>106</v>
      </c>
      <c r="D414" s="6" t="s">
        <v>35</v>
      </c>
      <c r="E414" s="6" t="s">
        <v>37</v>
      </c>
      <c r="F414" s="6" t="s">
        <v>83</v>
      </c>
      <c r="G414" s="6" t="s">
        <v>107</v>
      </c>
      <c r="H414" s="6" t="s">
        <v>108</v>
      </c>
      <c r="I414" s="6" t="s">
        <v>63</v>
      </c>
      <c r="J414" s="6">
        <v>17.402322739999999</v>
      </c>
      <c r="K414" s="6">
        <v>-96.928514969999995</v>
      </c>
      <c r="L414" s="6" t="str">
        <f>HYPERLINK("https://maps.google.com/?q=17.40232274,-96.928514969999995", "🔗 Ver Mapa")</f>
        <v>🔗 Ver Mapa</v>
      </c>
    </row>
    <row r="415" spans="1:12" ht="43.5" x14ac:dyDescent="0.35">
      <c r="A415" s="5" t="s">
        <v>8</v>
      </c>
      <c r="B415" s="5" t="s">
        <v>16</v>
      </c>
      <c r="C415" s="5" t="s">
        <v>106</v>
      </c>
      <c r="D415" s="5" t="s">
        <v>35</v>
      </c>
      <c r="E415" s="5" t="s">
        <v>37</v>
      </c>
      <c r="F415" s="5" t="s">
        <v>83</v>
      </c>
      <c r="G415" s="5" t="s">
        <v>107</v>
      </c>
      <c r="H415" s="5" t="s">
        <v>108</v>
      </c>
      <c r="I415" s="5" t="s">
        <v>63</v>
      </c>
      <c r="J415" s="5">
        <v>17.402361020000001</v>
      </c>
      <c r="K415" s="5">
        <v>-96.928681269999998</v>
      </c>
      <c r="L415" s="5" t="str">
        <f>HYPERLINK("https://maps.google.com/?q=17.40236102,-96.928681269999998", "🔗 Ver Mapa")</f>
        <v>🔗 Ver Mapa</v>
      </c>
    </row>
    <row r="416" spans="1:12" ht="43.5" x14ac:dyDescent="0.35">
      <c r="A416" s="6" t="s">
        <v>8</v>
      </c>
      <c r="B416" s="6" t="s">
        <v>16</v>
      </c>
      <c r="C416" s="6" t="s">
        <v>106</v>
      </c>
      <c r="D416" s="6" t="s">
        <v>35</v>
      </c>
      <c r="E416" s="6" t="s">
        <v>37</v>
      </c>
      <c r="F416" s="6" t="s">
        <v>83</v>
      </c>
      <c r="G416" s="6" t="s">
        <v>107</v>
      </c>
      <c r="H416" s="6" t="s">
        <v>108</v>
      </c>
      <c r="I416" s="6" t="s">
        <v>63</v>
      </c>
      <c r="J416" s="6">
        <v>17.402478330000001</v>
      </c>
      <c r="K416" s="6">
        <v>-96.92710769</v>
      </c>
      <c r="L416" s="6" t="str">
        <f>HYPERLINK("https://maps.google.com/?q=17.40247833,-96.92710769", "🔗 Ver Mapa")</f>
        <v>🔗 Ver Mapa</v>
      </c>
    </row>
    <row r="417" spans="1:12" ht="43.5" x14ac:dyDescent="0.35">
      <c r="A417" s="5" t="s">
        <v>8</v>
      </c>
      <c r="B417" s="5" t="s">
        <v>16</v>
      </c>
      <c r="C417" s="5" t="s">
        <v>106</v>
      </c>
      <c r="D417" s="5" t="s">
        <v>35</v>
      </c>
      <c r="E417" s="5" t="s">
        <v>37</v>
      </c>
      <c r="F417" s="5" t="s">
        <v>83</v>
      </c>
      <c r="G417" s="5" t="s">
        <v>107</v>
      </c>
      <c r="H417" s="5" t="s">
        <v>108</v>
      </c>
      <c r="I417" s="5" t="s">
        <v>63</v>
      </c>
      <c r="J417" s="5">
        <v>17.402510443297999</v>
      </c>
      <c r="K417" s="5">
        <v>-96.928930565640997</v>
      </c>
      <c r="L417" s="5" t="str">
        <f>HYPERLINK("https://maps.google.com/?q=17.4025104432983,-96.928930565641394", "🔗 Ver Mapa")</f>
        <v>🔗 Ver Mapa</v>
      </c>
    </row>
    <row r="418" spans="1:12" ht="43.5" x14ac:dyDescent="0.35">
      <c r="A418" s="6" t="s">
        <v>8</v>
      </c>
      <c r="B418" s="6" t="s">
        <v>16</v>
      </c>
      <c r="C418" s="6" t="s">
        <v>106</v>
      </c>
      <c r="D418" s="6" t="s">
        <v>35</v>
      </c>
      <c r="E418" s="6" t="s">
        <v>37</v>
      </c>
      <c r="F418" s="6" t="s">
        <v>83</v>
      </c>
      <c r="G418" s="6" t="s">
        <v>107</v>
      </c>
      <c r="H418" s="6" t="s">
        <v>108</v>
      </c>
      <c r="I418" s="6" t="s">
        <v>63</v>
      </c>
      <c r="J418" s="6">
        <v>17.402533999999999</v>
      </c>
      <c r="K418" s="6">
        <v>-96.927955999999995</v>
      </c>
      <c r="L418" s="6" t="str">
        <f>HYPERLINK("https://maps.google.com/?q=17.402534,-96.927955999999995", "🔗 Ver Mapa")</f>
        <v>🔗 Ver Mapa</v>
      </c>
    </row>
    <row r="419" spans="1:12" ht="43.5" x14ac:dyDescent="0.35">
      <c r="A419" s="5" t="s">
        <v>8</v>
      </c>
      <c r="B419" s="5" t="s">
        <v>16</v>
      </c>
      <c r="C419" s="5" t="s">
        <v>106</v>
      </c>
      <c r="D419" s="5" t="s">
        <v>35</v>
      </c>
      <c r="E419" s="5" t="s">
        <v>37</v>
      </c>
      <c r="F419" s="5" t="s">
        <v>83</v>
      </c>
      <c r="G419" s="5" t="s">
        <v>107</v>
      </c>
      <c r="H419" s="5" t="s">
        <v>108</v>
      </c>
      <c r="I419" s="5" t="s">
        <v>63</v>
      </c>
      <c r="J419" s="5">
        <v>17.40253658</v>
      </c>
      <c r="K419" s="5">
        <v>-96.928436779999998</v>
      </c>
      <c r="L419" s="5" t="str">
        <f>HYPERLINK("https://maps.google.com/?q=17.40253658,-96.928436779999998", "🔗 Ver Mapa")</f>
        <v>🔗 Ver Mapa</v>
      </c>
    </row>
    <row r="420" spans="1:12" ht="43.5" x14ac:dyDescent="0.35">
      <c r="A420" s="6" t="s">
        <v>8</v>
      </c>
      <c r="B420" s="6" t="s">
        <v>16</v>
      </c>
      <c r="C420" s="6" t="s">
        <v>106</v>
      </c>
      <c r="D420" s="6" t="s">
        <v>35</v>
      </c>
      <c r="E420" s="6" t="s">
        <v>37</v>
      </c>
      <c r="F420" s="6" t="s">
        <v>83</v>
      </c>
      <c r="G420" s="6" t="s">
        <v>107</v>
      </c>
      <c r="H420" s="6" t="s">
        <v>108</v>
      </c>
      <c r="I420" s="6" t="s">
        <v>63</v>
      </c>
      <c r="J420" s="6">
        <v>17.402644219999999</v>
      </c>
      <c r="K420" s="6">
        <v>-96.929008859999996</v>
      </c>
      <c r="L420" s="6" t="str">
        <f>HYPERLINK("https://maps.google.com/?q=17.40264422,-96.929008859999996", "🔗 Ver Mapa")</f>
        <v>🔗 Ver Mapa</v>
      </c>
    </row>
    <row r="421" spans="1:12" ht="43.5" x14ac:dyDescent="0.35">
      <c r="A421" s="5" t="s">
        <v>8</v>
      </c>
      <c r="B421" s="5" t="s">
        <v>16</v>
      </c>
      <c r="C421" s="5" t="s">
        <v>106</v>
      </c>
      <c r="D421" s="5" t="s">
        <v>35</v>
      </c>
      <c r="E421" s="5" t="s">
        <v>37</v>
      </c>
      <c r="F421" s="5" t="s">
        <v>83</v>
      </c>
      <c r="G421" s="5" t="s">
        <v>107</v>
      </c>
      <c r="H421" s="5" t="s">
        <v>108</v>
      </c>
      <c r="I421" s="5" t="s">
        <v>63</v>
      </c>
      <c r="J421" s="5">
        <v>17.402825233375999</v>
      </c>
      <c r="K421" s="5">
        <v>-96.930111457671998</v>
      </c>
      <c r="L421" s="5" t="str">
        <f>HYPERLINK("https://maps.google.com/?q=17.4028252333756,-96.930111457672098", "🔗 Ver Mapa")</f>
        <v>🔗 Ver Mapa</v>
      </c>
    </row>
    <row r="422" spans="1:12" ht="43.5" x14ac:dyDescent="0.35">
      <c r="A422" s="6" t="s">
        <v>8</v>
      </c>
      <c r="B422" s="6" t="s">
        <v>16</v>
      </c>
      <c r="C422" s="6" t="s">
        <v>106</v>
      </c>
      <c r="D422" s="6" t="s">
        <v>35</v>
      </c>
      <c r="E422" s="6" t="s">
        <v>37</v>
      </c>
      <c r="F422" s="6" t="s">
        <v>83</v>
      </c>
      <c r="G422" s="6" t="s">
        <v>107</v>
      </c>
      <c r="H422" s="6" t="s">
        <v>108</v>
      </c>
      <c r="I422" s="6" t="s">
        <v>63</v>
      </c>
      <c r="J422" s="6">
        <v>17.403162999999999</v>
      </c>
      <c r="K422" s="6">
        <v>-96.928274000000002</v>
      </c>
      <c r="L422" s="6" t="str">
        <f>HYPERLINK("https://maps.google.com/?q=17.403163,-96.928274000000002", "🔗 Ver Mapa")</f>
        <v>🔗 Ver Mapa</v>
      </c>
    </row>
    <row r="423" spans="1:12" ht="43.5" x14ac:dyDescent="0.35">
      <c r="A423" s="5" t="s">
        <v>8</v>
      </c>
      <c r="B423" s="5" t="s">
        <v>16</v>
      </c>
      <c r="C423" s="5" t="s">
        <v>106</v>
      </c>
      <c r="D423" s="5" t="s">
        <v>35</v>
      </c>
      <c r="E423" s="5" t="s">
        <v>37</v>
      </c>
      <c r="F423" s="5" t="s">
        <v>83</v>
      </c>
      <c r="G423" s="5" t="s">
        <v>107</v>
      </c>
      <c r="H423" s="5" t="s">
        <v>108</v>
      </c>
      <c r="I423" s="5" t="s">
        <v>63</v>
      </c>
      <c r="J423" s="5">
        <v>17.403461309000001</v>
      </c>
      <c r="K423" s="5">
        <v>-96.930072284399998</v>
      </c>
      <c r="L423" s="5" t="str">
        <f>HYPERLINK("https://maps.google.com/?q=17.403461309,-96.930072284399998", "🔗 Ver Mapa")</f>
        <v>🔗 Ver Mapa</v>
      </c>
    </row>
    <row r="424" spans="1:12" ht="43.5" x14ac:dyDescent="0.35">
      <c r="A424" s="6" t="s">
        <v>8</v>
      </c>
      <c r="B424" s="6" t="s">
        <v>16</v>
      </c>
      <c r="C424" s="6" t="s">
        <v>106</v>
      </c>
      <c r="D424" s="6" t="s">
        <v>35</v>
      </c>
      <c r="E424" s="6" t="s">
        <v>37</v>
      </c>
      <c r="F424" s="6" t="s">
        <v>83</v>
      </c>
      <c r="G424" s="6" t="s">
        <v>107</v>
      </c>
      <c r="H424" s="6" t="s">
        <v>108</v>
      </c>
      <c r="I424" s="6" t="s">
        <v>63</v>
      </c>
      <c r="J424" s="6">
        <v>17.405132167384998</v>
      </c>
      <c r="K424" s="6">
        <v>-96.929407585896996</v>
      </c>
      <c r="L424" s="6" t="str">
        <f>HYPERLINK("https://maps.google.com/?q=17.4051321673854,-96.929407585896698", "🔗 Ver Mapa")</f>
        <v>🔗 Ver Mapa</v>
      </c>
    </row>
    <row r="425" spans="1:12" ht="43.5" x14ac:dyDescent="0.35">
      <c r="A425" s="5" t="s">
        <v>8</v>
      </c>
      <c r="B425" s="5" t="s">
        <v>16</v>
      </c>
      <c r="C425" s="5" t="s">
        <v>106</v>
      </c>
      <c r="D425" s="5" t="s">
        <v>35</v>
      </c>
      <c r="E425" s="5" t="s">
        <v>37</v>
      </c>
      <c r="F425" s="5" t="s">
        <v>83</v>
      </c>
      <c r="G425" s="5" t="s">
        <v>107</v>
      </c>
      <c r="H425" s="5" t="s">
        <v>108</v>
      </c>
      <c r="I425" s="5" t="s">
        <v>63</v>
      </c>
      <c r="J425" s="5">
        <v>17.405380999999998</v>
      </c>
      <c r="K425" s="5">
        <v>-96.930023000000006</v>
      </c>
      <c r="L425" s="5" t="str">
        <f>HYPERLINK("https://maps.google.com/?q=17.405381,-96.930023000000006", "🔗 Ver Mapa")</f>
        <v>🔗 Ver Mapa</v>
      </c>
    </row>
    <row r="426" spans="1:12" ht="43.5" x14ac:dyDescent="0.35">
      <c r="A426" s="6" t="s">
        <v>8</v>
      </c>
      <c r="B426" s="6" t="s">
        <v>16</v>
      </c>
      <c r="C426" s="6" t="s">
        <v>106</v>
      </c>
      <c r="D426" s="6" t="s">
        <v>35</v>
      </c>
      <c r="E426" s="6" t="s">
        <v>37</v>
      </c>
      <c r="F426" s="6" t="s">
        <v>83</v>
      </c>
      <c r="G426" s="6" t="s">
        <v>107</v>
      </c>
      <c r="H426" s="6" t="s">
        <v>108</v>
      </c>
      <c r="I426" s="6" t="s">
        <v>63</v>
      </c>
      <c r="J426" s="6">
        <v>17.406392</v>
      </c>
      <c r="K426" s="6">
        <v>-96.928043000000002</v>
      </c>
      <c r="L426" s="6" t="str">
        <f>HYPERLINK("https://maps.google.com/?q=17.406392,-96.928043000000002", "🔗 Ver Mapa")</f>
        <v>🔗 Ver Mapa</v>
      </c>
    </row>
    <row r="427" spans="1:12" ht="43.5" x14ac:dyDescent="0.35">
      <c r="A427" s="5" t="s">
        <v>8</v>
      </c>
      <c r="B427" s="5" t="s">
        <v>16</v>
      </c>
      <c r="C427" s="5" t="s">
        <v>106</v>
      </c>
      <c r="D427" s="5" t="s">
        <v>35</v>
      </c>
      <c r="E427" s="5" t="s">
        <v>37</v>
      </c>
      <c r="F427" s="5" t="s">
        <v>83</v>
      </c>
      <c r="G427" s="5" t="s">
        <v>107</v>
      </c>
      <c r="H427" s="5" t="s">
        <v>108</v>
      </c>
      <c r="I427" s="5" t="s">
        <v>63</v>
      </c>
      <c r="J427" s="5">
        <v>17.40642463</v>
      </c>
      <c r="K427" s="5">
        <v>-96.928298190000007</v>
      </c>
      <c r="L427" s="5" t="str">
        <f>HYPERLINK("https://maps.google.com/?q=17.40642463,-96.928298190000007", "🔗 Ver Mapa")</f>
        <v>🔗 Ver Mapa</v>
      </c>
    </row>
    <row r="428" spans="1:12" ht="43.5" x14ac:dyDescent="0.35">
      <c r="A428" s="6" t="s">
        <v>8</v>
      </c>
      <c r="B428" s="6" t="s">
        <v>16</v>
      </c>
      <c r="C428" s="6" t="s">
        <v>106</v>
      </c>
      <c r="D428" s="6" t="s">
        <v>35</v>
      </c>
      <c r="E428" s="6" t="s">
        <v>37</v>
      </c>
      <c r="F428" s="6" t="s">
        <v>83</v>
      </c>
      <c r="G428" s="6" t="s">
        <v>107</v>
      </c>
      <c r="H428" s="6" t="s">
        <v>108</v>
      </c>
      <c r="I428" s="6" t="s">
        <v>63</v>
      </c>
      <c r="J428" s="6">
        <v>17.406445198099998</v>
      </c>
      <c r="K428" s="6">
        <v>-96.928956093254001</v>
      </c>
      <c r="L428" s="6" t="str">
        <f>HYPERLINK("https://maps.google.com/?q=17.4064451981,-96.928956093254001", "🔗 Ver Mapa")</f>
        <v>🔗 Ver Mapa</v>
      </c>
    </row>
    <row r="429" spans="1:12" ht="43.5" x14ac:dyDescent="0.35">
      <c r="A429" s="5" t="s">
        <v>8</v>
      </c>
      <c r="B429" s="5" t="s">
        <v>16</v>
      </c>
      <c r="C429" s="5" t="s">
        <v>109</v>
      </c>
      <c r="D429" s="5" t="s">
        <v>35</v>
      </c>
      <c r="E429" s="5" t="s">
        <v>37</v>
      </c>
      <c r="F429" s="5" t="s">
        <v>83</v>
      </c>
      <c r="G429" s="5" t="s">
        <v>107</v>
      </c>
      <c r="H429" s="5" t="s">
        <v>110</v>
      </c>
      <c r="I429" s="5" t="s">
        <v>63</v>
      </c>
      <c r="J429" s="5">
        <v>17.408543869999999</v>
      </c>
      <c r="K429" s="5">
        <v>-97.012536420000004</v>
      </c>
      <c r="L429" s="5" t="str">
        <f>HYPERLINK("https://maps.google.com/?q=17.40854387,-97.012536420000004", "🔗 Ver Mapa")</f>
        <v>🔗 Ver Mapa</v>
      </c>
    </row>
    <row r="430" spans="1:12" ht="43.5" x14ac:dyDescent="0.35">
      <c r="A430" s="6" t="s">
        <v>8</v>
      </c>
      <c r="B430" s="6" t="s">
        <v>16</v>
      </c>
      <c r="C430" s="6" t="s">
        <v>109</v>
      </c>
      <c r="D430" s="6" t="s">
        <v>35</v>
      </c>
      <c r="E430" s="6" t="s">
        <v>37</v>
      </c>
      <c r="F430" s="6" t="s">
        <v>83</v>
      </c>
      <c r="G430" s="6" t="s">
        <v>107</v>
      </c>
      <c r="H430" s="6" t="s">
        <v>110</v>
      </c>
      <c r="I430" s="6" t="s">
        <v>63</v>
      </c>
      <c r="J430" s="6">
        <v>17.408579700000001</v>
      </c>
      <c r="K430" s="6">
        <v>-97.012168270000004</v>
      </c>
      <c r="L430" s="6" t="str">
        <f>HYPERLINK("https://maps.google.com/?q=17.4085797,-97.012168270000004", "🔗 Ver Mapa")</f>
        <v>🔗 Ver Mapa</v>
      </c>
    </row>
    <row r="431" spans="1:12" ht="43.5" x14ac:dyDescent="0.35">
      <c r="A431" s="5" t="s">
        <v>8</v>
      </c>
      <c r="B431" s="5" t="s">
        <v>16</v>
      </c>
      <c r="C431" s="5" t="s">
        <v>109</v>
      </c>
      <c r="D431" s="5" t="s">
        <v>35</v>
      </c>
      <c r="E431" s="5" t="s">
        <v>37</v>
      </c>
      <c r="F431" s="5" t="s">
        <v>83</v>
      </c>
      <c r="G431" s="5" t="s">
        <v>107</v>
      </c>
      <c r="H431" s="5" t="s">
        <v>110</v>
      </c>
      <c r="I431" s="5" t="s">
        <v>63</v>
      </c>
      <c r="J431" s="5">
        <v>17.408650399999999</v>
      </c>
      <c r="K431" s="5">
        <v>-97.012562529999997</v>
      </c>
      <c r="L431" s="5" t="str">
        <f>HYPERLINK("https://maps.google.com/?q=17.4086504,-97.012562529999997", "🔗 Ver Mapa")</f>
        <v>🔗 Ver Mapa</v>
      </c>
    </row>
    <row r="432" spans="1:12" ht="43.5" x14ac:dyDescent="0.35">
      <c r="A432" s="6" t="s">
        <v>8</v>
      </c>
      <c r="B432" s="6" t="s">
        <v>16</v>
      </c>
      <c r="C432" s="6" t="s">
        <v>109</v>
      </c>
      <c r="D432" s="6" t="s">
        <v>35</v>
      </c>
      <c r="E432" s="6" t="s">
        <v>37</v>
      </c>
      <c r="F432" s="6" t="s">
        <v>83</v>
      </c>
      <c r="G432" s="6" t="s">
        <v>107</v>
      </c>
      <c r="H432" s="6" t="s">
        <v>110</v>
      </c>
      <c r="I432" s="6" t="s">
        <v>63</v>
      </c>
      <c r="J432" s="6">
        <v>17.408694780000001</v>
      </c>
      <c r="K432" s="6">
        <v>-97.012696020000007</v>
      </c>
      <c r="L432" s="6" t="str">
        <f>HYPERLINK("https://maps.google.com/?q=17.40869478,-97.012696020000007", "🔗 Ver Mapa")</f>
        <v>🔗 Ver Mapa</v>
      </c>
    </row>
    <row r="433" spans="1:12" ht="43.5" x14ac:dyDescent="0.35">
      <c r="A433" s="5" t="s">
        <v>8</v>
      </c>
      <c r="B433" s="5" t="s">
        <v>16</v>
      </c>
      <c r="C433" s="5" t="s">
        <v>109</v>
      </c>
      <c r="D433" s="5" t="s">
        <v>35</v>
      </c>
      <c r="E433" s="5" t="s">
        <v>37</v>
      </c>
      <c r="F433" s="5" t="s">
        <v>83</v>
      </c>
      <c r="G433" s="5" t="s">
        <v>107</v>
      </c>
      <c r="H433" s="5" t="s">
        <v>110</v>
      </c>
      <c r="I433" s="5" t="s">
        <v>63</v>
      </c>
      <c r="J433" s="5">
        <v>17.409667169999999</v>
      </c>
      <c r="K433" s="5">
        <v>-97.013312519999999</v>
      </c>
      <c r="L433" s="5" t="str">
        <f>HYPERLINK("https://maps.google.com/?q=17.40966717,-97.013312519999999", "🔗 Ver Mapa")</f>
        <v>🔗 Ver Mapa</v>
      </c>
    </row>
    <row r="434" spans="1:12" ht="43.5" x14ac:dyDescent="0.35">
      <c r="A434" s="6" t="s">
        <v>8</v>
      </c>
      <c r="B434" s="6" t="s">
        <v>16</v>
      </c>
      <c r="C434" s="6" t="s">
        <v>109</v>
      </c>
      <c r="D434" s="6" t="s">
        <v>35</v>
      </c>
      <c r="E434" s="6" t="s">
        <v>37</v>
      </c>
      <c r="F434" s="6" t="s">
        <v>83</v>
      </c>
      <c r="G434" s="6" t="s">
        <v>107</v>
      </c>
      <c r="H434" s="6" t="s">
        <v>110</v>
      </c>
      <c r="I434" s="6" t="s">
        <v>63</v>
      </c>
      <c r="J434" s="6">
        <v>17.409679560000001</v>
      </c>
      <c r="K434" s="6">
        <v>-97.01259786</v>
      </c>
      <c r="L434" s="6" t="str">
        <f>HYPERLINK("https://maps.google.com/?q=17.40967956,-97.01259786", "🔗 Ver Mapa")</f>
        <v>🔗 Ver Mapa</v>
      </c>
    </row>
    <row r="435" spans="1:12" ht="43.5" x14ac:dyDescent="0.35">
      <c r="A435" s="5" t="s">
        <v>8</v>
      </c>
      <c r="B435" s="5" t="s">
        <v>16</v>
      </c>
      <c r="C435" s="5" t="s">
        <v>109</v>
      </c>
      <c r="D435" s="5" t="s">
        <v>35</v>
      </c>
      <c r="E435" s="5" t="s">
        <v>37</v>
      </c>
      <c r="F435" s="5" t="s">
        <v>83</v>
      </c>
      <c r="G435" s="5" t="s">
        <v>107</v>
      </c>
      <c r="H435" s="5" t="s">
        <v>110</v>
      </c>
      <c r="I435" s="5" t="s">
        <v>63</v>
      </c>
      <c r="J435" s="5">
        <v>17.409701162209998</v>
      </c>
      <c r="K435" s="5">
        <v>-97.013393125299999</v>
      </c>
      <c r="L435" s="5" t="str">
        <f>HYPERLINK("https://maps.google.com/?q=17.40970116221,-97.013393125299999", "🔗 Ver Mapa")</f>
        <v>🔗 Ver Mapa</v>
      </c>
    </row>
    <row r="436" spans="1:12" ht="43.5" x14ac:dyDescent="0.35">
      <c r="A436" s="6" t="s">
        <v>8</v>
      </c>
      <c r="B436" s="6" t="s">
        <v>16</v>
      </c>
      <c r="C436" s="6" t="s">
        <v>109</v>
      </c>
      <c r="D436" s="6" t="s">
        <v>35</v>
      </c>
      <c r="E436" s="6" t="s">
        <v>37</v>
      </c>
      <c r="F436" s="6" t="s">
        <v>83</v>
      </c>
      <c r="G436" s="6" t="s">
        <v>107</v>
      </c>
      <c r="H436" s="6" t="s">
        <v>110</v>
      </c>
      <c r="I436" s="6" t="s">
        <v>63</v>
      </c>
      <c r="J436" s="6">
        <v>17.40970154</v>
      </c>
      <c r="K436" s="6">
        <v>-97.013087249999998</v>
      </c>
      <c r="L436" s="6" t="str">
        <f>HYPERLINK("https://maps.google.com/?q=17.40970154,-97.013087249999998", "🔗 Ver Mapa")</f>
        <v>🔗 Ver Mapa</v>
      </c>
    </row>
    <row r="437" spans="1:12" ht="43.5" x14ac:dyDescent="0.35">
      <c r="A437" s="5" t="s">
        <v>8</v>
      </c>
      <c r="B437" s="5" t="s">
        <v>16</v>
      </c>
      <c r="C437" s="5" t="s">
        <v>109</v>
      </c>
      <c r="D437" s="5" t="s">
        <v>35</v>
      </c>
      <c r="E437" s="5" t="s">
        <v>37</v>
      </c>
      <c r="F437" s="5" t="s">
        <v>83</v>
      </c>
      <c r="G437" s="5" t="s">
        <v>107</v>
      </c>
      <c r="H437" s="5" t="s">
        <v>110</v>
      </c>
      <c r="I437" s="5" t="s">
        <v>63</v>
      </c>
      <c r="J437" s="5">
        <v>17.409766000000001</v>
      </c>
      <c r="K437" s="5">
        <v>-97.013007999999999</v>
      </c>
      <c r="L437" s="5" t="str">
        <f>HYPERLINK("https://maps.google.com/?q=17.409766,-97.013007999999999", "🔗 Ver Mapa")</f>
        <v>🔗 Ver Mapa</v>
      </c>
    </row>
    <row r="438" spans="1:12" ht="43.5" x14ac:dyDescent="0.35">
      <c r="A438" s="6" t="s">
        <v>8</v>
      </c>
      <c r="B438" s="6" t="s">
        <v>16</v>
      </c>
      <c r="C438" s="6" t="s">
        <v>109</v>
      </c>
      <c r="D438" s="6" t="s">
        <v>35</v>
      </c>
      <c r="E438" s="6" t="s">
        <v>37</v>
      </c>
      <c r="F438" s="6" t="s">
        <v>83</v>
      </c>
      <c r="G438" s="6" t="s">
        <v>107</v>
      </c>
      <c r="H438" s="6" t="s">
        <v>110</v>
      </c>
      <c r="I438" s="6" t="s">
        <v>63</v>
      </c>
      <c r="J438" s="6">
        <v>17.409766139999999</v>
      </c>
      <c r="K438" s="6">
        <v>-97.013496529999998</v>
      </c>
      <c r="L438" s="6" t="str">
        <f>HYPERLINK("https://maps.google.com/?q=17.40976614,-97.013496529999998", "🔗 Ver Mapa")</f>
        <v>🔗 Ver Mapa</v>
      </c>
    </row>
    <row r="439" spans="1:12" ht="43.5" x14ac:dyDescent="0.35">
      <c r="A439" s="5" t="s">
        <v>8</v>
      </c>
      <c r="B439" s="5" t="s">
        <v>16</v>
      </c>
      <c r="C439" s="5" t="s">
        <v>109</v>
      </c>
      <c r="D439" s="5" t="s">
        <v>35</v>
      </c>
      <c r="E439" s="5" t="s">
        <v>37</v>
      </c>
      <c r="F439" s="5" t="s">
        <v>83</v>
      </c>
      <c r="G439" s="5" t="s">
        <v>107</v>
      </c>
      <c r="H439" s="5" t="s">
        <v>110</v>
      </c>
      <c r="I439" s="5" t="s">
        <v>63</v>
      </c>
      <c r="J439" s="5">
        <v>17.409814149999999</v>
      </c>
      <c r="K439" s="5">
        <v>-97.013146259999999</v>
      </c>
      <c r="L439" s="5" t="str">
        <f>HYPERLINK("https://maps.google.com/?q=17.40981415,-97.013146259999999", "🔗 Ver Mapa")</f>
        <v>🔗 Ver Mapa</v>
      </c>
    </row>
    <row r="440" spans="1:12" ht="43.5" x14ac:dyDescent="0.35">
      <c r="A440" s="6" t="s">
        <v>8</v>
      </c>
      <c r="B440" s="6" t="s">
        <v>16</v>
      </c>
      <c r="C440" s="6" t="s">
        <v>109</v>
      </c>
      <c r="D440" s="6" t="s">
        <v>35</v>
      </c>
      <c r="E440" s="6" t="s">
        <v>37</v>
      </c>
      <c r="F440" s="6" t="s">
        <v>83</v>
      </c>
      <c r="G440" s="6" t="s">
        <v>107</v>
      </c>
      <c r="H440" s="6" t="s">
        <v>110</v>
      </c>
      <c r="I440" s="6" t="s">
        <v>63</v>
      </c>
      <c r="J440" s="6">
        <v>17.409849980000001</v>
      </c>
      <c r="K440" s="6">
        <v>-97.013261</v>
      </c>
      <c r="L440" s="6" t="str">
        <f>HYPERLINK("https://maps.google.com/?q=17.40984998,-97.013261", "🔗 Ver Mapa")</f>
        <v>🔗 Ver Mapa</v>
      </c>
    </row>
    <row r="441" spans="1:12" ht="43.5" x14ac:dyDescent="0.35">
      <c r="A441" s="5" t="s">
        <v>8</v>
      </c>
      <c r="B441" s="5" t="s">
        <v>16</v>
      </c>
      <c r="C441" s="5" t="s">
        <v>109</v>
      </c>
      <c r="D441" s="5" t="s">
        <v>35</v>
      </c>
      <c r="E441" s="5" t="s">
        <v>37</v>
      </c>
      <c r="F441" s="5" t="s">
        <v>83</v>
      </c>
      <c r="G441" s="5" t="s">
        <v>107</v>
      </c>
      <c r="H441" s="5" t="s">
        <v>110</v>
      </c>
      <c r="I441" s="5" t="s">
        <v>63</v>
      </c>
      <c r="J441" s="5">
        <v>17.410222310000002</v>
      </c>
      <c r="K441" s="5">
        <v>-97.014075199999994</v>
      </c>
      <c r="L441" s="5" t="str">
        <f>HYPERLINK("https://maps.google.com/?q=17.41022231,-97.014075199999994", "🔗 Ver Mapa")</f>
        <v>🔗 Ver Mapa</v>
      </c>
    </row>
    <row r="442" spans="1:12" ht="43.5" x14ac:dyDescent="0.35">
      <c r="A442" s="6" t="s">
        <v>8</v>
      </c>
      <c r="B442" s="6" t="s">
        <v>16</v>
      </c>
      <c r="C442" s="6" t="s">
        <v>109</v>
      </c>
      <c r="D442" s="6" t="s">
        <v>35</v>
      </c>
      <c r="E442" s="6" t="s">
        <v>37</v>
      </c>
      <c r="F442" s="6" t="s">
        <v>83</v>
      </c>
      <c r="G442" s="6" t="s">
        <v>107</v>
      </c>
      <c r="H442" s="6" t="s">
        <v>110</v>
      </c>
      <c r="I442" s="6" t="s">
        <v>63</v>
      </c>
      <c r="J442" s="6">
        <v>17.412241999999999</v>
      </c>
      <c r="K442" s="6">
        <v>-97.013947999999999</v>
      </c>
      <c r="L442" s="6" t="str">
        <f>HYPERLINK("https://maps.google.com/?q=17.412242,-97.013947999999999", "🔗 Ver Mapa")</f>
        <v>🔗 Ver Mapa</v>
      </c>
    </row>
    <row r="443" spans="1:12" ht="43.5" x14ac:dyDescent="0.35">
      <c r="A443" s="5" t="s">
        <v>8</v>
      </c>
      <c r="B443" s="5" t="s">
        <v>16</v>
      </c>
      <c r="C443" s="5" t="s">
        <v>109</v>
      </c>
      <c r="D443" s="5" t="s">
        <v>35</v>
      </c>
      <c r="E443" s="5" t="s">
        <v>37</v>
      </c>
      <c r="F443" s="5" t="s">
        <v>83</v>
      </c>
      <c r="G443" s="5" t="s">
        <v>107</v>
      </c>
      <c r="H443" s="5" t="s">
        <v>110</v>
      </c>
      <c r="I443" s="5" t="s">
        <v>63</v>
      </c>
      <c r="J443" s="5">
        <v>17.412535999999999</v>
      </c>
      <c r="K443" s="5">
        <v>-97.013396</v>
      </c>
      <c r="L443" s="5" t="str">
        <f>HYPERLINK("https://maps.google.com/?q=17.412536,-97.013396", "🔗 Ver Mapa")</f>
        <v>🔗 Ver Mapa</v>
      </c>
    </row>
    <row r="444" spans="1:12" ht="43.5" x14ac:dyDescent="0.35">
      <c r="A444" s="6" t="s">
        <v>8</v>
      </c>
      <c r="B444" s="6" t="s">
        <v>16</v>
      </c>
      <c r="C444" s="6" t="s">
        <v>109</v>
      </c>
      <c r="D444" s="6" t="s">
        <v>35</v>
      </c>
      <c r="E444" s="6" t="s">
        <v>37</v>
      </c>
      <c r="F444" s="6" t="s">
        <v>83</v>
      </c>
      <c r="G444" s="6" t="s">
        <v>107</v>
      </c>
      <c r="H444" s="6" t="s">
        <v>110</v>
      </c>
      <c r="I444" s="6" t="s">
        <v>63</v>
      </c>
      <c r="J444" s="6">
        <v>17.414702479999999</v>
      </c>
      <c r="K444" s="6">
        <v>-97.013561749999994</v>
      </c>
      <c r="L444" s="6" t="str">
        <f>HYPERLINK("https://maps.google.com/?q=17.41470248,-97.013561749999994", "🔗 Ver Mapa")</f>
        <v>🔗 Ver Mapa</v>
      </c>
    </row>
    <row r="445" spans="1:12" ht="43.5" x14ac:dyDescent="0.35">
      <c r="A445" s="5" t="s">
        <v>8</v>
      </c>
      <c r="B445" s="5" t="s">
        <v>16</v>
      </c>
      <c r="C445" s="5" t="s">
        <v>109</v>
      </c>
      <c r="D445" s="5" t="s">
        <v>35</v>
      </c>
      <c r="E445" s="5" t="s">
        <v>37</v>
      </c>
      <c r="F445" s="5" t="s">
        <v>83</v>
      </c>
      <c r="G445" s="5" t="s">
        <v>107</v>
      </c>
      <c r="H445" s="5" t="s">
        <v>110</v>
      </c>
      <c r="I445" s="5" t="s">
        <v>63</v>
      </c>
      <c r="J445" s="5">
        <v>17.415032199999999</v>
      </c>
      <c r="K445" s="5">
        <v>-97.013457099999997</v>
      </c>
      <c r="L445" s="5" t="str">
        <f>HYPERLINK("https://maps.google.com/?q=17.4150322,-97.013457099999997", "🔗 Ver Mapa")</f>
        <v>🔗 Ver Mapa</v>
      </c>
    </row>
    <row r="446" spans="1:12" ht="43.5" x14ac:dyDescent="0.35">
      <c r="A446" s="6" t="s">
        <v>8</v>
      </c>
      <c r="B446" s="6" t="s">
        <v>16</v>
      </c>
      <c r="C446" s="6" t="s">
        <v>109</v>
      </c>
      <c r="D446" s="6" t="s">
        <v>35</v>
      </c>
      <c r="E446" s="6" t="s">
        <v>37</v>
      </c>
      <c r="F446" s="6" t="s">
        <v>83</v>
      </c>
      <c r="G446" s="6" t="s">
        <v>107</v>
      </c>
      <c r="H446" s="6" t="s">
        <v>110</v>
      </c>
      <c r="I446" s="6" t="s">
        <v>63</v>
      </c>
      <c r="J446" s="6">
        <v>17.415349689999999</v>
      </c>
      <c r="K446" s="6">
        <v>-97.01307328</v>
      </c>
      <c r="L446" s="6" t="str">
        <f>HYPERLINK("https://maps.google.com/?q=17.41534969,-97.01307328", "🔗 Ver Mapa")</f>
        <v>🔗 Ver Mapa</v>
      </c>
    </row>
    <row r="447" spans="1:12" ht="43.5" x14ac:dyDescent="0.35">
      <c r="A447" s="5" t="s">
        <v>8</v>
      </c>
      <c r="B447" s="5" t="s">
        <v>16</v>
      </c>
      <c r="C447" s="5" t="s">
        <v>109</v>
      </c>
      <c r="D447" s="5" t="s">
        <v>35</v>
      </c>
      <c r="E447" s="5" t="s">
        <v>37</v>
      </c>
      <c r="F447" s="5" t="s">
        <v>83</v>
      </c>
      <c r="G447" s="5" t="s">
        <v>107</v>
      </c>
      <c r="H447" s="5" t="s">
        <v>110</v>
      </c>
      <c r="I447" s="5" t="s">
        <v>63</v>
      </c>
      <c r="J447" s="5">
        <v>17.415993</v>
      </c>
      <c r="K447" s="5">
        <v>-97.012484999999998</v>
      </c>
      <c r="L447" s="5" t="str">
        <f>HYPERLINK("https://maps.google.com/?q=17.415993,-97.012484999999998", "🔗 Ver Mapa")</f>
        <v>🔗 Ver Mapa</v>
      </c>
    </row>
    <row r="448" spans="1:12" ht="43.5" x14ac:dyDescent="0.35">
      <c r="A448" s="6" t="s">
        <v>8</v>
      </c>
      <c r="B448" s="6" t="s">
        <v>16</v>
      </c>
      <c r="C448" s="6" t="s">
        <v>109</v>
      </c>
      <c r="D448" s="6" t="s">
        <v>35</v>
      </c>
      <c r="E448" s="6" t="s">
        <v>37</v>
      </c>
      <c r="F448" s="6" t="s">
        <v>83</v>
      </c>
      <c r="G448" s="6" t="s">
        <v>107</v>
      </c>
      <c r="H448" s="6" t="s">
        <v>110</v>
      </c>
      <c r="I448" s="6" t="s">
        <v>63</v>
      </c>
      <c r="J448" s="6">
        <v>17.41812646</v>
      </c>
      <c r="K448" s="6">
        <v>-97.011933350000007</v>
      </c>
      <c r="L448" s="6" t="str">
        <f>HYPERLINK("https://maps.google.com/?q=17.41812646,-97.011933350000007", "🔗 Ver Mapa")</f>
        <v>🔗 Ver Mapa</v>
      </c>
    </row>
    <row r="449" spans="1:12" ht="43.5" x14ac:dyDescent="0.35">
      <c r="A449" s="5" t="s">
        <v>8</v>
      </c>
      <c r="B449" s="5" t="s">
        <v>16</v>
      </c>
      <c r="C449" s="5" t="s">
        <v>111</v>
      </c>
      <c r="D449" s="5" t="s">
        <v>35</v>
      </c>
      <c r="E449" s="5" t="s">
        <v>37</v>
      </c>
      <c r="F449" s="5" t="s">
        <v>83</v>
      </c>
      <c r="G449" s="5" t="s">
        <v>107</v>
      </c>
      <c r="H449" s="5" t="s">
        <v>112</v>
      </c>
      <c r="I449" s="5" t="s">
        <v>63</v>
      </c>
      <c r="J449" s="5">
        <v>17.410070579999999</v>
      </c>
      <c r="K449" s="5">
        <v>-96.930624030000004</v>
      </c>
      <c r="L449" s="5" t="str">
        <f>HYPERLINK("https://maps.google.com/?q=17.41007058,-96.930624030000004", "🔗 Ver Mapa")</f>
        <v>🔗 Ver Mapa</v>
      </c>
    </row>
    <row r="450" spans="1:12" ht="43.5" x14ac:dyDescent="0.35">
      <c r="A450" s="6" t="s">
        <v>8</v>
      </c>
      <c r="B450" s="6" t="s">
        <v>16</v>
      </c>
      <c r="C450" s="6" t="s">
        <v>111</v>
      </c>
      <c r="D450" s="6" t="s">
        <v>35</v>
      </c>
      <c r="E450" s="6" t="s">
        <v>37</v>
      </c>
      <c r="F450" s="6" t="s">
        <v>83</v>
      </c>
      <c r="G450" s="6" t="s">
        <v>107</v>
      </c>
      <c r="H450" s="6" t="s">
        <v>112</v>
      </c>
      <c r="I450" s="6" t="s">
        <v>63</v>
      </c>
      <c r="J450" s="6">
        <v>17.412960200000001</v>
      </c>
      <c r="K450" s="6">
        <v>-96.930508000000003</v>
      </c>
      <c r="L450" s="6" t="str">
        <f>HYPERLINK("https://maps.google.com/?q=17.4129602,-96.930508000000003", "🔗 Ver Mapa")</f>
        <v>🔗 Ver Mapa</v>
      </c>
    </row>
    <row r="451" spans="1:12" ht="43.5" x14ac:dyDescent="0.35">
      <c r="A451" s="5" t="s">
        <v>8</v>
      </c>
      <c r="B451" s="5" t="s">
        <v>16</v>
      </c>
      <c r="C451" s="5" t="s">
        <v>111</v>
      </c>
      <c r="D451" s="5" t="s">
        <v>35</v>
      </c>
      <c r="E451" s="5" t="s">
        <v>37</v>
      </c>
      <c r="F451" s="5" t="s">
        <v>83</v>
      </c>
      <c r="G451" s="5" t="s">
        <v>107</v>
      </c>
      <c r="H451" s="5" t="s">
        <v>112</v>
      </c>
      <c r="I451" s="5" t="s">
        <v>63</v>
      </c>
      <c r="J451" s="5">
        <v>17.413010239999998</v>
      </c>
      <c r="K451" s="5">
        <v>-96.931923889999993</v>
      </c>
      <c r="L451" s="5" t="str">
        <f>HYPERLINK("https://maps.google.com/?q=17.41301024,-96.931923889999993", "🔗 Ver Mapa")</f>
        <v>🔗 Ver Mapa</v>
      </c>
    </row>
    <row r="452" spans="1:12" ht="43.5" x14ac:dyDescent="0.35">
      <c r="A452" s="6" t="s">
        <v>8</v>
      </c>
      <c r="B452" s="6" t="s">
        <v>16</v>
      </c>
      <c r="C452" s="6" t="s">
        <v>111</v>
      </c>
      <c r="D452" s="6" t="s">
        <v>35</v>
      </c>
      <c r="E452" s="6" t="s">
        <v>37</v>
      </c>
      <c r="F452" s="6" t="s">
        <v>83</v>
      </c>
      <c r="G452" s="6" t="s">
        <v>107</v>
      </c>
      <c r="H452" s="6" t="s">
        <v>112</v>
      </c>
      <c r="I452" s="6" t="s">
        <v>63</v>
      </c>
      <c r="J452" s="6">
        <v>17.4130191</v>
      </c>
      <c r="K452" s="6">
        <v>-96.932164999999998</v>
      </c>
      <c r="L452" s="6" t="str">
        <f>HYPERLINK("https://maps.google.com/?q=17.4130191,-96.932164999999998", "🔗 Ver Mapa")</f>
        <v>🔗 Ver Mapa</v>
      </c>
    </row>
    <row r="453" spans="1:12" ht="43.5" x14ac:dyDescent="0.35">
      <c r="A453" s="5" t="s">
        <v>8</v>
      </c>
      <c r="B453" s="5" t="s">
        <v>16</v>
      </c>
      <c r="C453" s="5" t="s">
        <v>111</v>
      </c>
      <c r="D453" s="5" t="s">
        <v>35</v>
      </c>
      <c r="E453" s="5" t="s">
        <v>37</v>
      </c>
      <c r="F453" s="5" t="s">
        <v>83</v>
      </c>
      <c r="G453" s="5" t="s">
        <v>107</v>
      </c>
      <c r="H453" s="5" t="s">
        <v>112</v>
      </c>
      <c r="I453" s="5" t="s">
        <v>63</v>
      </c>
      <c r="J453" s="5">
        <v>17.413067389999998</v>
      </c>
      <c r="K453" s="5">
        <v>-96.931809779999995</v>
      </c>
      <c r="L453" s="5" t="str">
        <f>HYPERLINK("https://maps.google.com/?q=17.41306739,-96.931809779999995", "🔗 Ver Mapa")</f>
        <v>🔗 Ver Mapa</v>
      </c>
    </row>
    <row r="454" spans="1:12" ht="43.5" x14ac:dyDescent="0.35">
      <c r="A454" s="6" t="s">
        <v>8</v>
      </c>
      <c r="B454" s="6" t="s">
        <v>16</v>
      </c>
      <c r="C454" s="6" t="s">
        <v>111</v>
      </c>
      <c r="D454" s="6" t="s">
        <v>35</v>
      </c>
      <c r="E454" s="6" t="s">
        <v>37</v>
      </c>
      <c r="F454" s="6" t="s">
        <v>83</v>
      </c>
      <c r="G454" s="6" t="s">
        <v>107</v>
      </c>
      <c r="H454" s="6" t="s">
        <v>112</v>
      </c>
      <c r="I454" s="6" t="s">
        <v>63</v>
      </c>
      <c r="J454" s="6">
        <v>17.413141</v>
      </c>
      <c r="K454" s="6">
        <v>-96.930856000000006</v>
      </c>
      <c r="L454" s="6" t="str">
        <f>HYPERLINK("https://maps.google.com/?q=17.413141,-96.930856000000006", "🔗 Ver Mapa")</f>
        <v>🔗 Ver Mapa</v>
      </c>
    </row>
    <row r="455" spans="1:12" ht="43.5" x14ac:dyDescent="0.35">
      <c r="A455" s="5" t="s">
        <v>8</v>
      </c>
      <c r="B455" s="5" t="s">
        <v>16</v>
      </c>
      <c r="C455" s="5" t="s">
        <v>111</v>
      </c>
      <c r="D455" s="5" t="s">
        <v>35</v>
      </c>
      <c r="E455" s="5" t="s">
        <v>37</v>
      </c>
      <c r="F455" s="5" t="s">
        <v>83</v>
      </c>
      <c r="G455" s="5" t="s">
        <v>107</v>
      </c>
      <c r="H455" s="5" t="s">
        <v>112</v>
      </c>
      <c r="I455" s="5" t="s">
        <v>63</v>
      </c>
      <c r="J455" s="5">
        <v>17.413219999999999</v>
      </c>
      <c r="K455" s="5">
        <v>-96.931594000000004</v>
      </c>
      <c r="L455" s="5" t="str">
        <f>HYPERLINK("https://maps.google.com/?q=17.41322,-96.931594000000004", "🔗 Ver Mapa")</f>
        <v>🔗 Ver Mapa</v>
      </c>
    </row>
    <row r="456" spans="1:12" ht="43.5" x14ac:dyDescent="0.35">
      <c r="A456" s="6" t="s">
        <v>8</v>
      </c>
      <c r="B456" s="6" t="s">
        <v>16</v>
      </c>
      <c r="C456" s="6" t="s">
        <v>111</v>
      </c>
      <c r="D456" s="6" t="s">
        <v>35</v>
      </c>
      <c r="E456" s="6" t="s">
        <v>37</v>
      </c>
      <c r="F456" s="6" t="s">
        <v>83</v>
      </c>
      <c r="G456" s="6" t="s">
        <v>107</v>
      </c>
      <c r="H456" s="6" t="s">
        <v>112</v>
      </c>
      <c r="I456" s="6" t="s">
        <v>63</v>
      </c>
      <c r="J456" s="6">
        <v>17.413229000000001</v>
      </c>
      <c r="K456" s="6">
        <v>-96.930435000000003</v>
      </c>
      <c r="L456" s="6" t="str">
        <f>HYPERLINK("https://maps.google.com/?q=17.413229,-96.930435000000003", "🔗 Ver Mapa")</f>
        <v>🔗 Ver Mapa</v>
      </c>
    </row>
    <row r="457" spans="1:12" ht="43.5" x14ac:dyDescent="0.35">
      <c r="A457" s="5" t="s">
        <v>8</v>
      </c>
      <c r="B457" s="5" t="s">
        <v>16</v>
      </c>
      <c r="C457" s="5" t="s">
        <v>111</v>
      </c>
      <c r="D457" s="5" t="s">
        <v>35</v>
      </c>
      <c r="E457" s="5" t="s">
        <v>37</v>
      </c>
      <c r="F457" s="5" t="s">
        <v>83</v>
      </c>
      <c r="G457" s="5" t="s">
        <v>107</v>
      </c>
      <c r="H457" s="5" t="s">
        <v>112</v>
      </c>
      <c r="I457" s="5" t="s">
        <v>63</v>
      </c>
      <c r="J457" s="5">
        <v>17.413320570235999</v>
      </c>
      <c r="K457" s="5">
        <v>-96.931985647850993</v>
      </c>
      <c r="L457" s="5" t="str">
        <f>HYPERLINK("https://maps.google.com/?q=17.4133205702363,-96.931985647850595", "🔗 Ver Mapa")</f>
        <v>🔗 Ver Mapa</v>
      </c>
    </row>
    <row r="458" spans="1:12" ht="43.5" x14ac:dyDescent="0.35">
      <c r="A458" s="6" t="s">
        <v>8</v>
      </c>
      <c r="B458" s="6" t="s">
        <v>16</v>
      </c>
      <c r="C458" s="6" t="s">
        <v>111</v>
      </c>
      <c r="D458" s="6" t="s">
        <v>35</v>
      </c>
      <c r="E458" s="6" t="s">
        <v>37</v>
      </c>
      <c r="F458" s="6" t="s">
        <v>83</v>
      </c>
      <c r="G458" s="6" t="s">
        <v>107</v>
      </c>
      <c r="H458" s="6" t="s">
        <v>112</v>
      </c>
      <c r="I458" s="6" t="s">
        <v>63</v>
      </c>
      <c r="J458" s="6">
        <v>17.413326000000001</v>
      </c>
      <c r="K458" s="6">
        <v>-96.931894999999997</v>
      </c>
      <c r="L458" s="6" t="str">
        <f>HYPERLINK("https://maps.google.com/?q=17.413326,-96.931894999999997", "🔗 Ver Mapa")</f>
        <v>🔗 Ver Mapa</v>
      </c>
    </row>
    <row r="459" spans="1:12" ht="43.5" x14ac:dyDescent="0.35">
      <c r="A459" s="5" t="s">
        <v>8</v>
      </c>
      <c r="B459" s="5" t="s">
        <v>16</v>
      </c>
      <c r="C459" s="5" t="s">
        <v>111</v>
      </c>
      <c r="D459" s="5" t="s">
        <v>35</v>
      </c>
      <c r="E459" s="5" t="s">
        <v>37</v>
      </c>
      <c r="F459" s="5" t="s">
        <v>83</v>
      </c>
      <c r="G459" s="5" t="s">
        <v>107</v>
      </c>
      <c r="H459" s="5" t="s">
        <v>112</v>
      </c>
      <c r="I459" s="5" t="s">
        <v>63</v>
      </c>
      <c r="J459" s="5">
        <v>17.413419999999999</v>
      </c>
      <c r="K459" s="5">
        <v>-96.931466</v>
      </c>
      <c r="L459" s="5" t="str">
        <f>HYPERLINK("https://maps.google.com/?q=17.41342,-96.931466", "🔗 Ver Mapa")</f>
        <v>🔗 Ver Mapa</v>
      </c>
    </row>
    <row r="460" spans="1:12" ht="43.5" x14ac:dyDescent="0.35">
      <c r="A460" s="6" t="s">
        <v>8</v>
      </c>
      <c r="B460" s="6" t="s">
        <v>16</v>
      </c>
      <c r="C460" s="6" t="s">
        <v>111</v>
      </c>
      <c r="D460" s="6" t="s">
        <v>35</v>
      </c>
      <c r="E460" s="6" t="s">
        <v>37</v>
      </c>
      <c r="F460" s="6" t="s">
        <v>83</v>
      </c>
      <c r="G460" s="6" t="s">
        <v>107</v>
      </c>
      <c r="H460" s="6" t="s">
        <v>112</v>
      </c>
      <c r="I460" s="6" t="s">
        <v>63</v>
      </c>
      <c r="J460" s="6">
        <v>17.413506999999999</v>
      </c>
      <c r="K460" s="6">
        <v>-96.930614000000006</v>
      </c>
      <c r="L460" s="6" t="str">
        <f>HYPERLINK("https://maps.google.com/?q=17.413507,-96.930614000000006", "🔗 Ver Mapa")</f>
        <v>🔗 Ver Mapa</v>
      </c>
    </row>
    <row r="461" spans="1:12" ht="43.5" x14ac:dyDescent="0.35">
      <c r="A461" s="5" t="s">
        <v>8</v>
      </c>
      <c r="B461" s="5" t="s">
        <v>16</v>
      </c>
      <c r="C461" s="5" t="s">
        <v>111</v>
      </c>
      <c r="D461" s="5" t="s">
        <v>35</v>
      </c>
      <c r="E461" s="5" t="s">
        <v>37</v>
      </c>
      <c r="F461" s="5" t="s">
        <v>83</v>
      </c>
      <c r="G461" s="5" t="s">
        <v>107</v>
      </c>
      <c r="H461" s="5" t="s">
        <v>112</v>
      </c>
      <c r="I461" s="5" t="s">
        <v>63</v>
      </c>
      <c r="J461" s="5">
        <v>17.413589000000002</v>
      </c>
      <c r="K461" s="5">
        <v>-96.930863000000002</v>
      </c>
      <c r="L461" s="5" t="str">
        <f>HYPERLINK("https://maps.google.com/?q=17.413589,-96.930863000000002", "🔗 Ver Mapa")</f>
        <v>🔗 Ver Mapa</v>
      </c>
    </row>
    <row r="462" spans="1:12" ht="43.5" x14ac:dyDescent="0.35">
      <c r="A462" s="6" t="s">
        <v>8</v>
      </c>
      <c r="B462" s="6" t="s">
        <v>16</v>
      </c>
      <c r="C462" s="6" t="s">
        <v>111</v>
      </c>
      <c r="D462" s="6" t="s">
        <v>35</v>
      </c>
      <c r="E462" s="6" t="s">
        <v>37</v>
      </c>
      <c r="F462" s="6" t="s">
        <v>83</v>
      </c>
      <c r="G462" s="6" t="s">
        <v>107</v>
      </c>
      <c r="H462" s="6" t="s">
        <v>112</v>
      </c>
      <c r="I462" s="6" t="s">
        <v>63</v>
      </c>
      <c r="J462" s="6">
        <v>17.413625518488999</v>
      </c>
      <c r="K462" s="6">
        <v>-96.930769604969996</v>
      </c>
      <c r="L462" s="6" t="str">
        <f>HYPERLINK("https://maps.google.com/?q=17.4136255184886,-96.930769604970195", "🔗 Ver Mapa")</f>
        <v>🔗 Ver Mapa</v>
      </c>
    </row>
    <row r="463" spans="1:12" ht="43.5" x14ac:dyDescent="0.35">
      <c r="A463" s="5" t="s">
        <v>8</v>
      </c>
      <c r="B463" s="5" t="s">
        <v>16</v>
      </c>
      <c r="C463" s="5" t="s">
        <v>111</v>
      </c>
      <c r="D463" s="5" t="s">
        <v>35</v>
      </c>
      <c r="E463" s="5" t="s">
        <v>37</v>
      </c>
      <c r="F463" s="5" t="s">
        <v>83</v>
      </c>
      <c r="G463" s="5" t="s">
        <v>107</v>
      </c>
      <c r="H463" s="5" t="s">
        <v>112</v>
      </c>
      <c r="I463" s="5" t="s">
        <v>63</v>
      </c>
      <c r="J463" s="5">
        <v>17.413791499999999</v>
      </c>
      <c r="K463" s="5">
        <v>-96.930649000000003</v>
      </c>
      <c r="L463" s="5" t="str">
        <f>HYPERLINK("https://maps.google.com/?q=17.4137915,-96.930649000000003", "🔗 Ver Mapa")</f>
        <v>🔗 Ver Mapa</v>
      </c>
    </row>
    <row r="464" spans="1:12" ht="43.5" x14ac:dyDescent="0.35">
      <c r="A464" s="6" t="s">
        <v>8</v>
      </c>
      <c r="B464" s="6" t="s">
        <v>16</v>
      </c>
      <c r="C464" s="6" t="s">
        <v>111</v>
      </c>
      <c r="D464" s="6" t="s">
        <v>35</v>
      </c>
      <c r="E464" s="6" t="s">
        <v>37</v>
      </c>
      <c r="F464" s="6" t="s">
        <v>83</v>
      </c>
      <c r="G464" s="6" t="s">
        <v>107</v>
      </c>
      <c r="H464" s="6" t="s">
        <v>112</v>
      </c>
      <c r="I464" s="6" t="s">
        <v>63</v>
      </c>
      <c r="J464" s="6">
        <v>17.416433000000001</v>
      </c>
      <c r="K464" s="6">
        <v>-96.931741000000002</v>
      </c>
      <c r="L464" s="6" t="str">
        <f>HYPERLINK("https://maps.google.com/?q=17.416433,-96.931741000000002", "🔗 Ver Mapa")</f>
        <v>🔗 Ver Mapa</v>
      </c>
    </row>
    <row r="465" spans="1:12" ht="43.5" x14ac:dyDescent="0.35">
      <c r="A465" s="5" t="s">
        <v>8</v>
      </c>
      <c r="B465" s="5" t="s">
        <v>16</v>
      </c>
      <c r="C465" s="5" t="s">
        <v>111</v>
      </c>
      <c r="D465" s="5" t="s">
        <v>35</v>
      </c>
      <c r="E465" s="5" t="s">
        <v>37</v>
      </c>
      <c r="F465" s="5" t="s">
        <v>83</v>
      </c>
      <c r="G465" s="5" t="s">
        <v>107</v>
      </c>
      <c r="H465" s="5" t="s">
        <v>112</v>
      </c>
      <c r="I465" s="5" t="s">
        <v>63</v>
      </c>
      <c r="J465" s="5">
        <v>17.416522000000001</v>
      </c>
      <c r="K465" s="5">
        <v>-96.931843999999998</v>
      </c>
      <c r="L465" s="5" t="str">
        <f>HYPERLINK("https://maps.google.com/?q=17.416522,-96.931843999999998", "🔗 Ver Mapa")</f>
        <v>🔗 Ver Mapa</v>
      </c>
    </row>
    <row r="466" spans="1:12" ht="43.5" x14ac:dyDescent="0.35">
      <c r="A466" s="6" t="s">
        <v>8</v>
      </c>
      <c r="B466" s="6" t="s">
        <v>16</v>
      </c>
      <c r="C466" s="6" t="s">
        <v>113</v>
      </c>
      <c r="D466" s="6" t="s">
        <v>35</v>
      </c>
      <c r="E466" s="6" t="s">
        <v>37</v>
      </c>
      <c r="F466" s="6" t="s">
        <v>83</v>
      </c>
      <c r="G466" s="6" t="s">
        <v>107</v>
      </c>
      <c r="H466" s="6" t="s">
        <v>114</v>
      </c>
      <c r="I466" s="6" t="s">
        <v>63</v>
      </c>
      <c r="J466" s="6">
        <v>17.421059</v>
      </c>
      <c r="K466" s="6">
        <v>-96.930807000000001</v>
      </c>
      <c r="L466" s="6" t="str">
        <f>HYPERLINK("https://maps.google.com/?q=17.421059,-96.930807000000001", "🔗 Ver Mapa")</f>
        <v>🔗 Ver Mapa</v>
      </c>
    </row>
    <row r="467" spans="1:12" ht="43.5" x14ac:dyDescent="0.35">
      <c r="A467" s="5" t="s">
        <v>8</v>
      </c>
      <c r="B467" s="5" t="s">
        <v>16</v>
      </c>
      <c r="C467" s="5" t="s">
        <v>113</v>
      </c>
      <c r="D467" s="5" t="s">
        <v>35</v>
      </c>
      <c r="E467" s="5" t="s">
        <v>37</v>
      </c>
      <c r="F467" s="5" t="s">
        <v>83</v>
      </c>
      <c r="G467" s="5" t="s">
        <v>107</v>
      </c>
      <c r="H467" s="5" t="s">
        <v>114</v>
      </c>
      <c r="I467" s="5" t="s">
        <v>63</v>
      </c>
      <c r="J467" s="5">
        <v>17.421541999999999</v>
      </c>
      <c r="K467" s="5">
        <v>-96.930878000000007</v>
      </c>
      <c r="L467" s="5" t="str">
        <f>HYPERLINK("https://maps.google.com/?q=17.421542,-96.930878000000007", "🔗 Ver Mapa")</f>
        <v>🔗 Ver Mapa</v>
      </c>
    </row>
    <row r="468" spans="1:12" ht="43.5" x14ac:dyDescent="0.35">
      <c r="A468" s="6" t="s">
        <v>8</v>
      </c>
      <c r="B468" s="6" t="s">
        <v>16</v>
      </c>
      <c r="C468" s="6" t="s">
        <v>113</v>
      </c>
      <c r="D468" s="6" t="s">
        <v>35</v>
      </c>
      <c r="E468" s="6" t="s">
        <v>37</v>
      </c>
      <c r="F468" s="6" t="s">
        <v>83</v>
      </c>
      <c r="G468" s="6" t="s">
        <v>107</v>
      </c>
      <c r="H468" s="6" t="s">
        <v>114</v>
      </c>
      <c r="I468" s="6" t="s">
        <v>63</v>
      </c>
      <c r="J468" s="6">
        <v>17.421690000000002</v>
      </c>
      <c r="K468" s="6">
        <v>-96.930918000000005</v>
      </c>
      <c r="L468" s="6" t="str">
        <f>HYPERLINK("https://maps.google.com/?q=17.42169,-96.930918000000005", "🔗 Ver Mapa")</f>
        <v>🔗 Ver Mapa</v>
      </c>
    </row>
    <row r="469" spans="1:12" ht="43.5" x14ac:dyDescent="0.35">
      <c r="A469" s="5" t="s">
        <v>8</v>
      </c>
      <c r="B469" s="5" t="s">
        <v>16</v>
      </c>
      <c r="C469" s="5" t="s">
        <v>113</v>
      </c>
      <c r="D469" s="5" t="s">
        <v>35</v>
      </c>
      <c r="E469" s="5" t="s">
        <v>37</v>
      </c>
      <c r="F469" s="5" t="s">
        <v>83</v>
      </c>
      <c r="G469" s="5" t="s">
        <v>107</v>
      </c>
      <c r="H469" s="5" t="s">
        <v>114</v>
      </c>
      <c r="I469" s="5" t="s">
        <v>63</v>
      </c>
      <c r="J469" s="5">
        <v>17.421843160000002</v>
      </c>
      <c r="K469" s="5">
        <v>-96.931005639999995</v>
      </c>
      <c r="L469" s="5" t="str">
        <f>HYPERLINK("https://maps.google.com/?q=17.42184316,-96.931005639999995", "🔗 Ver Mapa")</f>
        <v>🔗 Ver Mapa</v>
      </c>
    </row>
    <row r="470" spans="1:12" ht="43.5" x14ac:dyDescent="0.35">
      <c r="A470" s="6" t="s">
        <v>8</v>
      </c>
      <c r="B470" s="6" t="s">
        <v>16</v>
      </c>
      <c r="C470" s="6" t="s">
        <v>113</v>
      </c>
      <c r="D470" s="6" t="s">
        <v>35</v>
      </c>
      <c r="E470" s="6" t="s">
        <v>37</v>
      </c>
      <c r="F470" s="6" t="s">
        <v>83</v>
      </c>
      <c r="G470" s="6" t="s">
        <v>107</v>
      </c>
      <c r="H470" s="6" t="s">
        <v>114</v>
      </c>
      <c r="I470" s="6" t="s">
        <v>63</v>
      </c>
      <c r="J470" s="6">
        <v>17.422180000000001</v>
      </c>
      <c r="K470" s="6">
        <v>-96.931040999999993</v>
      </c>
      <c r="L470" s="6" t="str">
        <f>HYPERLINK("https://maps.google.com/?q=17.42218,-96.931040999999993", "🔗 Ver Mapa")</f>
        <v>🔗 Ver Mapa</v>
      </c>
    </row>
    <row r="471" spans="1:12" ht="43.5" x14ac:dyDescent="0.35">
      <c r="A471" s="5" t="s">
        <v>8</v>
      </c>
      <c r="B471" s="5" t="s">
        <v>16</v>
      </c>
      <c r="C471" s="5" t="s">
        <v>113</v>
      </c>
      <c r="D471" s="5" t="s">
        <v>35</v>
      </c>
      <c r="E471" s="5" t="s">
        <v>37</v>
      </c>
      <c r="F471" s="5" t="s">
        <v>83</v>
      </c>
      <c r="G471" s="5" t="s">
        <v>107</v>
      </c>
      <c r="H471" s="5" t="s">
        <v>114</v>
      </c>
      <c r="I471" s="5" t="s">
        <v>63</v>
      </c>
      <c r="J471" s="5">
        <v>17.422318000000001</v>
      </c>
      <c r="K471" s="5">
        <v>-96.932868999999997</v>
      </c>
      <c r="L471" s="5" t="str">
        <f>HYPERLINK("https://maps.google.com/?q=17.422318,-96.932868999999997", "🔗 Ver Mapa")</f>
        <v>🔗 Ver Mapa</v>
      </c>
    </row>
    <row r="472" spans="1:12" ht="43.5" x14ac:dyDescent="0.35">
      <c r="A472" s="6" t="s">
        <v>8</v>
      </c>
      <c r="B472" s="6" t="s">
        <v>16</v>
      </c>
      <c r="C472" s="6" t="s">
        <v>113</v>
      </c>
      <c r="D472" s="6" t="s">
        <v>35</v>
      </c>
      <c r="E472" s="6" t="s">
        <v>37</v>
      </c>
      <c r="F472" s="6" t="s">
        <v>83</v>
      </c>
      <c r="G472" s="6" t="s">
        <v>107</v>
      </c>
      <c r="H472" s="6" t="s">
        <v>114</v>
      </c>
      <c r="I472" s="6" t="s">
        <v>63</v>
      </c>
      <c r="J472" s="6">
        <v>17.4228214</v>
      </c>
      <c r="K472" s="6">
        <v>-96.932498260000003</v>
      </c>
      <c r="L472" s="6" t="str">
        <f>HYPERLINK("https://maps.google.com/?q=17.4228214,-96.932498260000003", "🔗 Ver Mapa")</f>
        <v>🔗 Ver Mapa</v>
      </c>
    </row>
    <row r="473" spans="1:12" ht="43.5" x14ac:dyDescent="0.35">
      <c r="A473" s="5" t="s">
        <v>8</v>
      </c>
      <c r="B473" s="5" t="s">
        <v>16</v>
      </c>
      <c r="C473" s="5" t="s">
        <v>113</v>
      </c>
      <c r="D473" s="5" t="s">
        <v>35</v>
      </c>
      <c r="E473" s="5" t="s">
        <v>37</v>
      </c>
      <c r="F473" s="5" t="s">
        <v>83</v>
      </c>
      <c r="G473" s="5" t="s">
        <v>107</v>
      </c>
      <c r="H473" s="5" t="s">
        <v>114</v>
      </c>
      <c r="I473" s="5" t="s">
        <v>63</v>
      </c>
      <c r="J473" s="5">
        <v>17.42295249</v>
      </c>
      <c r="K473" s="5">
        <v>-96.932157989999993</v>
      </c>
      <c r="L473" s="5" t="str">
        <f>HYPERLINK("https://maps.google.com/?q=17.42295249,-96.932157989999993", "🔗 Ver Mapa")</f>
        <v>🔗 Ver Mapa</v>
      </c>
    </row>
    <row r="474" spans="1:12" ht="43.5" x14ac:dyDescent="0.35">
      <c r="A474" s="6" t="s">
        <v>8</v>
      </c>
      <c r="B474" s="6" t="s">
        <v>16</v>
      </c>
      <c r="C474" s="6" t="s">
        <v>113</v>
      </c>
      <c r="D474" s="6" t="s">
        <v>35</v>
      </c>
      <c r="E474" s="6" t="s">
        <v>37</v>
      </c>
      <c r="F474" s="6" t="s">
        <v>83</v>
      </c>
      <c r="G474" s="6" t="s">
        <v>107</v>
      </c>
      <c r="H474" s="6" t="s">
        <v>114</v>
      </c>
      <c r="I474" s="6" t="s">
        <v>63</v>
      </c>
      <c r="J474" s="6">
        <v>17.423000999999999</v>
      </c>
      <c r="K474" s="6">
        <v>-96.931449000000001</v>
      </c>
      <c r="L474" s="6" t="str">
        <f>HYPERLINK("https://maps.google.com/?q=17.423001,-96.931449000000001", "🔗 Ver Mapa")</f>
        <v>🔗 Ver Mapa</v>
      </c>
    </row>
    <row r="475" spans="1:12" ht="43.5" x14ac:dyDescent="0.35">
      <c r="A475" s="5" t="s">
        <v>8</v>
      </c>
      <c r="B475" s="5" t="s">
        <v>16</v>
      </c>
      <c r="C475" s="5" t="s">
        <v>113</v>
      </c>
      <c r="D475" s="5" t="s">
        <v>35</v>
      </c>
      <c r="E475" s="5" t="s">
        <v>37</v>
      </c>
      <c r="F475" s="5" t="s">
        <v>83</v>
      </c>
      <c r="G475" s="5" t="s">
        <v>107</v>
      </c>
      <c r="H475" s="5" t="s">
        <v>114</v>
      </c>
      <c r="I475" s="5" t="s">
        <v>63</v>
      </c>
      <c r="J475" s="5">
        <v>17.423406270000001</v>
      </c>
      <c r="K475" s="5">
        <v>-96.931503599999999</v>
      </c>
      <c r="L475" s="5" t="str">
        <f>HYPERLINK("https://maps.google.com/?q=17.42340627,-96.931503599999999", "🔗 Ver Mapa")</f>
        <v>🔗 Ver Mapa</v>
      </c>
    </row>
    <row r="476" spans="1:12" ht="43.5" x14ac:dyDescent="0.35">
      <c r="A476" s="6" t="s">
        <v>8</v>
      </c>
      <c r="B476" s="6" t="s">
        <v>16</v>
      </c>
      <c r="C476" s="6" t="s">
        <v>115</v>
      </c>
      <c r="D476" s="6" t="s">
        <v>35</v>
      </c>
      <c r="E476" s="6" t="s">
        <v>37</v>
      </c>
      <c r="F476" s="6" t="s">
        <v>83</v>
      </c>
      <c r="G476" s="6" t="s">
        <v>107</v>
      </c>
      <c r="H476" s="6" t="s">
        <v>116</v>
      </c>
      <c r="I476" s="6" t="s">
        <v>63</v>
      </c>
      <c r="J476" s="6">
        <v>17.422438</v>
      </c>
      <c r="K476" s="6">
        <v>-97.010929000000004</v>
      </c>
      <c r="L476" s="6" t="str">
        <f>HYPERLINK("https://maps.google.com/?q=17.422438,-97.010929000000004", "🔗 Ver Mapa")</f>
        <v>🔗 Ver Mapa</v>
      </c>
    </row>
    <row r="477" spans="1:12" ht="43.5" x14ac:dyDescent="0.35">
      <c r="A477" s="5" t="s">
        <v>8</v>
      </c>
      <c r="B477" s="5" t="s">
        <v>16</v>
      </c>
      <c r="C477" s="5" t="s">
        <v>115</v>
      </c>
      <c r="D477" s="5" t="s">
        <v>35</v>
      </c>
      <c r="E477" s="5" t="s">
        <v>37</v>
      </c>
      <c r="F477" s="5" t="s">
        <v>83</v>
      </c>
      <c r="G477" s="5" t="s">
        <v>107</v>
      </c>
      <c r="H477" s="5" t="s">
        <v>116</v>
      </c>
      <c r="I477" s="5" t="s">
        <v>63</v>
      </c>
      <c r="J477" s="5">
        <v>17.422740999999998</v>
      </c>
      <c r="K477" s="5">
        <v>-97.010740999999996</v>
      </c>
      <c r="L477" s="5" t="str">
        <f>HYPERLINK("https://maps.google.com/?q=17.422741,-97.010740999999996", "🔗 Ver Mapa")</f>
        <v>🔗 Ver Mapa</v>
      </c>
    </row>
    <row r="478" spans="1:12" ht="43.5" x14ac:dyDescent="0.35">
      <c r="A478" s="6" t="s">
        <v>8</v>
      </c>
      <c r="B478" s="6" t="s">
        <v>16</v>
      </c>
      <c r="C478" s="6" t="s">
        <v>115</v>
      </c>
      <c r="D478" s="6" t="s">
        <v>35</v>
      </c>
      <c r="E478" s="6" t="s">
        <v>37</v>
      </c>
      <c r="F478" s="6" t="s">
        <v>83</v>
      </c>
      <c r="G478" s="6" t="s">
        <v>107</v>
      </c>
      <c r="H478" s="6" t="s">
        <v>116</v>
      </c>
      <c r="I478" s="6" t="s">
        <v>63</v>
      </c>
      <c r="J478" s="6">
        <v>17.422974</v>
      </c>
      <c r="K478" s="6">
        <v>-97.009343000000001</v>
      </c>
      <c r="L478" s="6" t="str">
        <f>HYPERLINK("https://maps.google.com/?q=17.422974,-97.009343000000001", "🔗 Ver Mapa")</f>
        <v>🔗 Ver Mapa</v>
      </c>
    </row>
    <row r="479" spans="1:12" ht="43.5" x14ac:dyDescent="0.35">
      <c r="A479" s="5" t="s">
        <v>8</v>
      </c>
      <c r="B479" s="5" t="s">
        <v>16</v>
      </c>
      <c r="C479" s="5" t="s">
        <v>115</v>
      </c>
      <c r="D479" s="5" t="s">
        <v>35</v>
      </c>
      <c r="E479" s="5" t="s">
        <v>37</v>
      </c>
      <c r="F479" s="5" t="s">
        <v>83</v>
      </c>
      <c r="G479" s="5" t="s">
        <v>107</v>
      </c>
      <c r="H479" s="5" t="s">
        <v>116</v>
      </c>
      <c r="I479" s="5" t="s">
        <v>63</v>
      </c>
      <c r="J479" s="5">
        <v>17.423089000000001</v>
      </c>
      <c r="K479" s="5">
        <v>-97.010589999999993</v>
      </c>
      <c r="L479" s="5" t="str">
        <f>HYPERLINK("https://maps.google.com/?q=17.423089,-97.010589999999993", "🔗 Ver Mapa")</f>
        <v>🔗 Ver Mapa</v>
      </c>
    </row>
    <row r="480" spans="1:12" ht="43.5" x14ac:dyDescent="0.35">
      <c r="A480" s="6" t="s">
        <v>8</v>
      </c>
      <c r="B480" s="6" t="s">
        <v>16</v>
      </c>
      <c r="C480" s="6" t="s">
        <v>115</v>
      </c>
      <c r="D480" s="6" t="s">
        <v>35</v>
      </c>
      <c r="E480" s="6" t="s">
        <v>37</v>
      </c>
      <c r="F480" s="6" t="s">
        <v>83</v>
      </c>
      <c r="G480" s="6" t="s">
        <v>107</v>
      </c>
      <c r="H480" s="6" t="s">
        <v>116</v>
      </c>
      <c r="I480" s="6" t="s">
        <v>63</v>
      </c>
      <c r="J480" s="6">
        <v>17.423754890000001</v>
      </c>
      <c r="K480" s="6">
        <v>-97.009987580000001</v>
      </c>
      <c r="L480" s="6" t="str">
        <f>HYPERLINK("https://maps.google.com/?q=17.42375489,-97.009987580000001", "🔗 Ver Mapa")</f>
        <v>🔗 Ver Mapa</v>
      </c>
    </row>
    <row r="481" spans="1:12" ht="43.5" x14ac:dyDescent="0.35">
      <c r="A481" s="5" t="s">
        <v>8</v>
      </c>
      <c r="B481" s="5" t="s">
        <v>16</v>
      </c>
      <c r="C481" s="5" t="s">
        <v>115</v>
      </c>
      <c r="D481" s="5" t="s">
        <v>35</v>
      </c>
      <c r="E481" s="5" t="s">
        <v>37</v>
      </c>
      <c r="F481" s="5" t="s">
        <v>83</v>
      </c>
      <c r="G481" s="5" t="s">
        <v>107</v>
      </c>
      <c r="H481" s="5" t="s">
        <v>116</v>
      </c>
      <c r="I481" s="5" t="s">
        <v>63</v>
      </c>
      <c r="J481" s="5">
        <v>17.425937000000001</v>
      </c>
      <c r="K481" s="5">
        <v>-97.008640999999997</v>
      </c>
      <c r="L481" s="5" t="str">
        <f>HYPERLINK("https://maps.google.com/?q=17.425937,-97.008640999999997", "🔗 Ver Mapa")</f>
        <v>🔗 Ver Mapa</v>
      </c>
    </row>
    <row r="482" spans="1:12" ht="43.5" x14ac:dyDescent="0.35">
      <c r="A482" s="6" t="s">
        <v>8</v>
      </c>
      <c r="B482" s="6" t="s">
        <v>16</v>
      </c>
      <c r="C482" s="6" t="s">
        <v>115</v>
      </c>
      <c r="D482" s="6" t="s">
        <v>35</v>
      </c>
      <c r="E482" s="6" t="s">
        <v>37</v>
      </c>
      <c r="F482" s="6" t="s">
        <v>83</v>
      </c>
      <c r="G482" s="6" t="s">
        <v>107</v>
      </c>
      <c r="H482" s="6" t="s">
        <v>116</v>
      </c>
      <c r="I482" s="6" t="s">
        <v>63</v>
      </c>
      <c r="J482" s="6">
        <v>17.42695981</v>
      </c>
      <c r="K482" s="6">
        <v>-97.0102124</v>
      </c>
      <c r="L482" s="6" t="str">
        <f>HYPERLINK("https://maps.google.com/?q=17.42695981,-97.0102124", "🔗 Ver Mapa")</f>
        <v>🔗 Ver Mapa</v>
      </c>
    </row>
    <row r="483" spans="1:12" ht="43.5" x14ac:dyDescent="0.35">
      <c r="A483" s="5" t="s">
        <v>8</v>
      </c>
      <c r="B483" s="5" t="s">
        <v>16</v>
      </c>
      <c r="C483" s="5" t="s">
        <v>115</v>
      </c>
      <c r="D483" s="5" t="s">
        <v>35</v>
      </c>
      <c r="E483" s="5" t="s">
        <v>37</v>
      </c>
      <c r="F483" s="5" t="s">
        <v>83</v>
      </c>
      <c r="G483" s="5" t="s">
        <v>107</v>
      </c>
      <c r="H483" s="5" t="s">
        <v>116</v>
      </c>
      <c r="I483" s="5" t="s">
        <v>63</v>
      </c>
      <c r="J483" s="5">
        <v>17.427026340000001</v>
      </c>
      <c r="K483" s="5">
        <v>-97.009909309999998</v>
      </c>
      <c r="L483" s="5" t="str">
        <f>HYPERLINK("https://maps.google.com/?q=17.42702634,-97.009909309999998", "🔗 Ver Mapa")</f>
        <v>🔗 Ver Mapa</v>
      </c>
    </row>
    <row r="484" spans="1:12" ht="43.5" x14ac:dyDescent="0.35">
      <c r="A484" s="6" t="s">
        <v>8</v>
      </c>
      <c r="B484" s="6" t="s">
        <v>16</v>
      </c>
      <c r="C484" s="6" t="s">
        <v>117</v>
      </c>
      <c r="D484" s="6" t="s">
        <v>35</v>
      </c>
      <c r="E484" s="6" t="s">
        <v>37</v>
      </c>
      <c r="F484" s="6" t="s">
        <v>83</v>
      </c>
      <c r="G484" s="6" t="s">
        <v>107</v>
      </c>
      <c r="H484" s="6" t="s">
        <v>118</v>
      </c>
      <c r="I484" s="6" t="s">
        <v>63</v>
      </c>
      <c r="J484" s="6">
        <v>17.380094163300001</v>
      </c>
      <c r="K484" s="6">
        <v>-96.919074042899993</v>
      </c>
      <c r="L484" s="6" t="str">
        <f>HYPERLINK("https://maps.google.com/?q=17.3800941633,-96.919074042899993", "🔗 Ver Mapa")</f>
        <v>🔗 Ver Mapa</v>
      </c>
    </row>
    <row r="485" spans="1:12" ht="43.5" x14ac:dyDescent="0.35">
      <c r="A485" s="5" t="s">
        <v>8</v>
      </c>
      <c r="B485" s="5" t="s">
        <v>16</v>
      </c>
      <c r="C485" s="5" t="s">
        <v>117</v>
      </c>
      <c r="D485" s="5" t="s">
        <v>35</v>
      </c>
      <c r="E485" s="5" t="s">
        <v>37</v>
      </c>
      <c r="F485" s="5" t="s">
        <v>83</v>
      </c>
      <c r="G485" s="5" t="s">
        <v>107</v>
      </c>
      <c r="H485" s="5" t="s">
        <v>118</v>
      </c>
      <c r="I485" s="5" t="s">
        <v>63</v>
      </c>
      <c r="J485" s="5">
        <v>17.380116999999998</v>
      </c>
      <c r="K485" s="5">
        <v>-96.919214999999994</v>
      </c>
      <c r="L485" s="5" t="str">
        <f>HYPERLINK("https://maps.google.com/?q=17.380117,-96.919214999999994", "🔗 Ver Mapa")</f>
        <v>🔗 Ver Mapa</v>
      </c>
    </row>
    <row r="486" spans="1:12" ht="43.5" x14ac:dyDescent="0.35">
      <c r="A486" s="6" t="s">
        <v>8</v>
      </c>
      <c r="B486" s="6" t="s">
        <v>16</v>
      </c>
      <c r="C486" s="6" t="s">
        <v>117</v>
      </c>
      <c r="D486" s="6" t="s">
        <v>35</v>
      </c>
      <c r="E486" s="6" t="s">
        <v>37</v>
      </c>
      <c r="F486" s="6" t="s">
        <v>83</v>
      </c>
      <c r="G486" s="6" t="s">
        <v>107</v>
      </c>
      <c r="H486" s="6" t="s">
        <v>118</v>
      </c>
      <c r="I486" s="6" t="s">
        <v>63</v>
      </c>
      <c r="J486" s="6">
        <v>17.380225729999999</v>
      </c>
      <c r="K486" s="6">
        <v>-96.919367739999998</v>
      </c>
      <c r="L486" s="6" t="str">
        <f>HYPERLINK("https://maps.google.com/?q=17.38022573,-96.919367739999998", "🔗 Ver Mapa")</f>
        <v>🔗 Ver Mapa</v>
      </c>
    </row>
    <row r="487" spans="1:12" ht="43.5" x14ac:dyDescent="0.35">
      <c r="A487" s="5" t="s">
        <v>8</v>
      </c>
      <c r="B487" s="5" t="s">
        <v>16</v>
      </c>
      <c r="C487" s="5" t="s">
        <v>117</v>
      </c>
      <c r="D487" s="5" t="s">
        <v>35</v>
      </c>
      <c r="E487" s="5" t="s">
        <v>37</v>
      </c>
      <c r="F487" s="5" t="s">
        <v>83</v>
      </c>
      <c r="G487" s="5" t="s">
        <v>107</v>
      </c>
      <c r="H487" s="5" t="s">
        <v>118</v>
      </c>
      <c r="I487" s="5" t="s">
        <v>63</v>
      </c>
      <c r="J487" s="5">
        <v>17.380290280000001</v>
      </c>
      <c r="K487" s="5">
        <v>-96.919175129999999</v>
      </c>
      <c r="L487" s="5" t="str">
        <f>HYPERLINK("https://maps.google.com/?q=17.38029028,-96.919175129999999", "🔗 Ver Mapa")</f>
        <v>🔗 Ver Mapa</v>
      </c>
    </row>
    <row r="488" spans="1:12" ht="43.5" x14ac:dyDescent="0.35">
      <c r="A488" s="6" t="s">
        <v>8</v>
      </c>
      <c r="B488" s="6" t="s">
        <v>16</v>
      </c>
      <c r="C488" s="6" t="s">
        <v>117</v>
      </c>
      <c r="D488" s="6" t="s">
        <v>35</v>
      </c>
      <c r="E488" s="6" t="s">
        <v>37</v>
      </c>
      <c r="F488" s="6" t="s">
        <v>83</v>
      </c>
      <c r="G488" s="6" t="s">
        <v>107</v>
      </c>
      <c r="H488" s="6" t="s">
        <v>118</v>
      </c>
      <c r="I488" s="6" t="s">
        <v>63</v>
      </c>
      <c r="J488" s="6">
        <v>17.380743058918</v>
      </c>
      <c r="K488" s="6">
        <v>-96.920490249300002</v>
      </c>
      <c r="L488" s="6" t="str">
        <f>HYPERLINK("https://maps.google.com/?q=17.380743058918,-96.920490249300002", "🔗 Ver Mapa")</f>
        <v>🔗 Ver Mapa</v>
      </c>
    </row>
    <row r="489" spans="1:12" ht="43.5" x14ac:dyDescent="0.35">
      <c r="A489" s="5" t="s">
        <v>8</v>
      </c>
      <c r="B489" s="5" t="s">
        <v>16</v>
      </c>
      <c r="C489" s="5" t="s">
        <v>117</v>
      </c>
      <c r="D489" s="5" t="s">
        <v>35</v>
      </c>
      <c r="E489" s="5" t="s">
        <v>37</v>
      </c>
      <c r="F489" s="5" t="s">
        <v>83</v>
      </c>
      <c r="G489" s="5" t="s">
        <v>107</v>
      </c>
      <c r="H489" s="5" t="s">
        <v>118</v>
      </c>
      <c r="I489" s="5" t="s">
        <v>63</v>
      </c>
      <c r="J489" s="5">
        <v>17.382436250000001</v>
      </c>
      <c r="K489" s="5">
        <v>-96.919969739999999</v>
      </c>
      <c r="L489" s="5" t="str">
        <f>HYPERLINK("https://maps.google.com/?q=17.38243625,-96.919969739999999", "🔗 Ver Mapa")</f>
        <v>🔗 Ver Mapa</v>
      </c>
    </row>
    <row r="490" spans="1:12" ht="43.5" x14ac:dyDescent="0.35">
      <c r="A490" s="6" t="s">
        <v>8</v>
      </c>
      <c r="B490" s="6" t="s">
        <v>16</v>
      </c>
      <c r="C490" s="6" t="s">
        <v>117</v>
      </c>
      <c r="D490" s="6" t="s">
        <v>35</v>
      </c>
      <c r="E490" s="6" t="s">
        <v>37</v>
      </c>
      <c r="F490" s="6" t="s">
        <v>83</v>
      </c>
      <c r="G490" s="6" t="s">
        <v>107</v>
      </c>
      <c r="H490" s="6" t="s">
        <v>118</v>
      </c>
      <c r="I490" s="6" t="s">
        <v>63</v>
      </c>
      <c r="J490" s="6">
        <v>17.382994815096001</v>
      </c>
      <c r="K490" s="6">
        <v>-96.919031822465001</v>
      </c>
      <c r="L490" s="6" t="str">
        <f>HYPERLINK("https://maps.google.com/?q=17.3829948150955,-96.9190318224653", "🔗 Ver Mapa")</f>
        <v>🔗 Ver Mapa</v>
      </c>
    </row>
    <row r="491" spans="1:12" ht="43.5" x14ac:dyDescent="0.35">
      <c r="A491" s="5" t="s">
        <v>8</v>
      </c>
      <c r="B491" s="5" t="s">
        <v>16</v>
      </c>
      <c r="C491" s="5" t="s">
        <v>117</v>
      </c>
      <c r="D491" s="5" t="s">
        <v>35</v>
      </c>
      <c r="E491" s="5" t="s">
        <v>37</v>
      </c>
      <c r="F491" s="5" t="s">
        <v>83</v>
      </c>
      <c r="G491" s="5" t="s">
        <v>107</v>
      </c>
      <c r="H491" s="5" t="s">
        <v>118</v>
      </c>
      <c r="I491" s="5" t="s">
        <v>63</v>
      </c>
      <c r="J491" s="5">
        <v>17.383096999999999</v>
      </c>
      <c r="K491" s="5">
        <v>-96.919145999999998</v>
      </c>
      <c r="L491" s="5" t="str">
        <f>HYPERLINK("https://maps.google.com/?q=17.383097,-96.919145999999998", "🔗 Ver Mapa")</f>
        <v>🔗 Ver Mapa</v>
      </c>
    </row>
    <row r="492" spans="1:12" ht="43.5" x14ac:dyDescent="0.35">
      <c r="A492" s="6" t="s">
        <v>8</v>
      </c>
      <c r="B492" s="6" t="s">
        <v>16</v>
      </c>
      <c r="C492" s="6" t="s">
        <v>119</v>
      </c>
      <c r="D492" s="6" t="s">
        <v>35</v>
      </c>
      <c r="E492" s="6" t="s">
        <v>37</v>
      </c>
      <c r="F492" s="6" t="s">
        <v>83</v>
      </c>
      <c r="G492" s="6" t="s">
        <v>107</v>
      </c>
      <c r="H492" s="6" t="s">
        <v>120</v>
      </c>
      <c r="I492" s="6" t="s">
        <v>63</v>
      </c>
      <c r="J492" s="6">
        <v>17.289942549999999</v>
      </c>
      <c r="K492" s="6">
        <v>-96.899724019999994</v>
      </c>
      <c r="L492" s="6" t="str">
        <f>HYPERLINK("https://maps.google.com/?q=17.28994255,-96.899724019999994", "🔗 Ver Mapa")</f>
        <v>🔗 Ver Mapa</v>
      </c>
    </row>
    <row r="493" spans="1:12" ht="43.5" x14ac:dyDescent="0.35">
      <c r="A493" s="5" t="s">
        <v>8</v>
      </c>
      <c r="B493" s="5" t="s">
        <v>16</v>
      </c>
      <c r="C493" s="5" t="s">
        <v>119</v>
      </c>
      <c r="D493" s="5" t="s">
        <v>35</v>
      </c>
      <c r="E493" s="5" t="s">
        <v>37</v>
      </c>
      <c r="F493" s="5" t="s">
        <v>83</v>
      </c>
      <c r="G493" s="5" t="s">
        <v>107</v>
      </c>
      <c r="H493" s="5" t="s">
        <v>120</v>
      </c>
      <c r="I493" s="5" t="s">
        <v>63</v>
      </c>
      <c r="J493" s="5">
        <v>17.292074379999999</v>
      </c>
      <c r="K493" s="5">
        <v>-96.904964199999995</v>
      </c>
      <c r="L493" s="5" t="str">
        <f>HYPERLINK("https://maps.google.com/?q=17.29207438,-96.904964199999995", "🔗 Ver Mapa")</f>
        <v>🔗 Ver Mapa</v>
      </c>
    </row>
    <row r="494" spans="1:12" ht="43.5" x14ac:dyDescent="0.35">
      <c r="A494" s="6" t="s">
        <v>8</v>
      </c>
      <c r="B494" s="6" t="s">
        <v>16</v>
      </c>
      <c r="C494" s="6" t="s">
        <v>119</v>
      </c>
      <c r="D494" s="6" t="s">
        <v>35</v>
      </c>
      <c r="E494" s="6" t="s">
        <v>37</v>
      </c>
      <c r="F494" s="6" t="s">
        <v>83</v>
      </c>
      <c r="G494" s="6" t="s">
        <v>107</v>
      </c>
      <c r="H494" s="6" t="s">
        <v>120</v>
      </c>
      <c r="I494" s="6" t="s">
        <v>63</v>
      </c>
      <c r="J494" s="6">
        <v>17.292432860000002</v>
      </c>
      <c r="K494" s="6">
        <v>-96.904066560000004</v>
      </c>
      <c r="L494" s="6" t="str">
        <f>HYPERLINK("https://maps.google.com/?q=17.29243286,-96.904066560000004", "🔗 Ver Mapa")</f>
        <v>🔗 Ver Mapa</v>
      </c>
    </row>
    <row r="495" spans="1:12" ht="43.5" x14ac:dyDescent="0.35">
      <c r="A495" s="5" t="s">
        <v>8</v>
      </c>
      <c r="B495" s="5" t="s">
        <v>16</v>
      </c>
      <c r="C495" s="5" t="s">
        <v>119</v>
      </c>
      <c r="D495" s="5" t="s">
        <v>35</v>
      </c>
      <c r="E495" s="5" t="s">
        <v>37</v>
      </c>
      <c r="F495" s="5" t="s">
        <v>83</v>
      </c>
      <c r="G495" s="5" t="s">
        <v>107</v>
      </c>
      <c r="H495" s="5" t="s">
        <v>120</v>
      </c>
      <c r="I495" s="5" t="s">
        <v>63</v>
      </c>
      <c r="J495" s="5">
        <v>17.292950260000001</v>
      </c>
      <c r="K495" s="5">
        <v>-96.905557060000007</v>
      </c>
      <c r="L495" s="5" t="str">
        <f>HYPERLINK("https://maps.google.com/?q=17.29295026,-96.905557060000007", "🔗 Ver Mapa")</f>
        <v>🔗 Ver Mapa</v>
      </c>
    </row>
    <row r="496" spans="1:12" ht="43.5" x14ac:dyDescent="0.35">
      <c r="A496" s="6" t="s">
        <v>8</v>
      </c>
      <c r="B496" s="6" t="s">
        <v>16</v>
      </c>
      <c r="C496" s="6" t="s">
        <v>119</v>
      </c>
      <c r="D496" s="6" t="s">
        <v>35</v>
      </c>
      <c r="E496" s="6" t="s">
        <v>37</v>
      </c>
      <c r="F496" s="6" t="s">
        <v>83</v>
      </c>
      <c r="G496" s="6" t="s">
        <v>107</v>
      </c>
      <c r="H496" s="6" t="s">
        <v>120</v>
      </c>
      <c r="I496" s="6" t="s">
        <v>63</v>
      </c>
      <c r="J496" s="6">
        <v>17.294178890000001</v>
      </c>
      <c r="K496" s="6">
        <v>-96.905721797400005</v>
      </c>
      <c r="L496" s="6" t="str">
        <f>HYPERLINK("https://maps.google.com/?q=17.29417889,-96.905721797400005", "🔗 Ver Mapa")</f>
        <v>🔗 Ver Mapa</v>
      </c>
    </row>
    <row r="497" spans="1:12" ht="43.5" x14ac:dyDescent="0.35">
      <c r="A497" s="5" t="s">
        <v>8</v>
      </c>
      <c r="B497" s="5" t="s">
        <v>16</v>
      </c>
      <c r="C497" s="5" t="s">
        <v>119</v>
      </c>
      <c r="D497" s="5" t="s">
        <v>35</v>
      </c>
      <c r="E497" s="5" t="s">
        <v>37</v>
      </c>
      <c r="F497" s="5" t="s">
        <v>83</v>
      </c>
      <c r="G497" s="5" t="s">
        <v>107</v>
      </c>
      <c r="H497" s="5" t="s">
        <v>120</v>
      </c>
      <c r="I497" s="5" t="s">
        <v>63</v>
      </c>
      <c r="J497" s="5">
        <v>17.294955559999998</v>
      </c>
      <c r="K497" s="5">
        <v>-96.905326380000005</v>
      </c>
      <c r="L497" s="5" t="str">
        <f>HYPERLINK("https://maps.google.com/?q=17.29495556,-96.905326380000005", "🔗 Ver Mapa")</f>
        <v>🔗 Ver Mapa</v>
      </c>
    </row>
    <row r="498" spans="1:12" ht="43.5" x14ac:dyDescent="0.35">
      <c r="A498" s="6" t="s">
        <v>8</v>
      </c>
      <c r="B498" s="6" t="s">
        <v>16</v>
      </c>
      <c r="C498" s="6" t="s">
        <v>119</v>
      </c>
      <c r="D498" s="6" t="s">
        <v>35</v>
      </c>
      <c r="E498" s="6" t="s">
        <v>37</v>
      </c>
      <c r="F498" s="6" t="s">
        <v>83</v>
      </c>
      <c r="G498" s="6" t="s">
        <v>107</v>
      </c>
      <c r="H498" s="6" t="s">
        <v>120</v>
      </c>
      <c r="I498" s="6" t="s">
        <v>63</v>
      </c>
      <c r="J498" s="6">
        <v>17.298617950000001</v>
      </c>
      <c r="K498" s="6">
        <v>-96.906048949999999</v>
      </c>
      <c r="L498" s="6" t="str">
        <f>HYPERLINK("https://maps.google.com/?q=17.29861795,-96.906048949999999", "🔗 Ver Mapa")</f>
        <v>🔗 Ver Mapa</v>
      </c>
    </row>
    <row r="499" spans="1:12" ht="43.5" x14ac:dyDescent="0.35">
      <c r="A499" s="5" t="s">
        <v>8</v>
      </c>
      <c r="B499" s="5" t="s">
        <v>16</v>
      </c>
      <c r="C499" s="5" t="s">
        <v>119</v>
      </c>
      <c r="D499" s="5" t="s">
        <v>35</v>
      </c>
      <c r="E499" s="5" t="s">
        <v>37</v>
      </c>
      <c r="F499" s="5" t="s">
        <v>83</v>
      </c>
      <c r="G499" s="5" t="s">
        <v>107</v>
      </c>
      <c r="H499" s="5" t="s">
        <v>120</v>
      </c>
      <c r="I499" s="5" t="s">
        <v>63</v>
      </c>
      <c r="J499" s="5">
        <v>17.305547250128001</v>
      </c>
      <c r="K499" s="5">
        <v>-96.897363582748</v>
      </c>
      <c r="L499" s="5" t="str">
        <f>HYPERLINK("https://maps.google.com/?q=17.305547250128,-96.897363582748", "🔗 Ver Mapa")</f>
        <v>🔗 Ver Mapa</v>
      </c>
    </row>
    <row r="500" spans="1:12" ht="43.5" x14ac:dyDescent="0.35">
      <c r="A500" s="6" t="s">
        <v>8</v>
      </c>
      <c r="B500" s="6" t="s">
        <v>16</v>
      </c>
      <c r="C500" s="6" t="s">
        <v>121</v>
      </c>
      <c r="D500" s="6" t="s">
        <v>35</v>
      </c>
      <c r="E500" s="6" t="s">
        <v>37</v>
      </c>
      <c r="F500" s="6" t="s">
        <v>83</v>
      </c>
      <c r="G500" s="6" t="s">
        <v>107</v>
      </c>
      <c r="H500" s="6" t="s">
        <v>122</v>
      </c>
      <c r="I500" s="6" t="s">
        <v>63</v>
      </c>
      <c r="J500" s="6">
        <v>17.429062129999998</v>
      </c>
      <c r="K500" s="6">
        <v>-96.935453999999993</v>
      </c>
      <c r="L500" s="6" t="str">
        <f>HYPERLINK("https://maps.google.com/?q=17.42906213,-96.935453999999993", "🔗 Ver Mapa")</f>
        <v>🔗 Ver Mapa</v>
      </c>
    </row>
    <row r="501" spans="1:12" ht="43.5" x14ac:dyDescent="0.35">
      <c r="A501" s="5" t="s">
        <v>8</v>
      </c>
      <c r="B501" s="5" t="s">
        <v>16</v>
      </c>
      <c r="C501" s="5" t="s">
        <v>121</v>
      </c>
      <c r="D501" s="5" t="s">
        <v>35</v>
      </c>
      <c r="E501" s="5" t="s">
        <v>37</v>
      </c>
      <c r="F501" s="5" t="s">
        <v>83</v>
      </c>
      <c r="G501" s="5" t="s">
        <v>107</v>
      </c>
      <c r="H501" s="5" t="s">
        <v>122</v>
      </c>
      <c r="I501" s="5" t="s">
        <v>63</v>
      </c>
      <c r="J501" s="5">
        <v>17.430174739999998</v>
      </c>
      <c r="K501" s="5">
        <v>-96.934522700000002</v>
      </c>
      <c r="L501" s="5" t="str">
        <f>HYPERLINK("https://maps.google.com/?q=17.430174739999998,-96.934522700000002", "🔗 Ver Mapa")</f>
        <v>🔗 Ver Mapa</v>
      </c>
    </row>
    <row r="502" spans="1:12" ht="43.5" x14ac:dyDescent="0.35">
      <c r="A502" s="6" t="s">
        <v>8</v>
      </c>
      <c r="B502" s="6" t="s">
        <v>16</v>
      </c>
      <c r="C502" s="6" t="s">
        <v>121</v>
      </c>
      <c r="D502" s="6" t="s">
        <v>35</v>
      </c>
      <c r="E502" s="6" t="s">
        <v>37</v>
      </c>
      <c r="F502" s="6" t="s">
        <v>83</v>
      </c>
      <c r="G502" s="6" t="s">
        <v>107</v>
      </c>
      <c r="H502" s="6" t="s">
        <v>122</v>
      </c>
      <c r="I502" s="6" t="s">
        <v>63</v>
      </c>
      <c r="J502" s="6">
        <v>17.430954</v>
      </c>
      <c r="K502" s="6">
        <v>-96.933494199999998</v>
      </c>
      <c r="L502" s="6" t="str">
        <f>HYPERLINK("https://maps.google.com/?q=17.430954,-96.933494199999998", "🔗 Ver Mapa")</f>
        <v>🔗 Ver Mapa</v>
      </c>
    </row>
    <row r="503" spans="1:12" ht="43.5" x14ac:dyDescent="0.35">
      <c r="A503" s="5" t="s">
        <v>8</v>
      </c>
      <c r="B503" s="5" t="s">
        <v>16</v>
      </c>
      <c r="C503" s="5" t="s">
        <v>121</v>
      </c>
      <c r="D503" s="5" t="s">
        <v>35</v>
      </c>
      <c r="E503" s="5" t="s">
        <v>37</v>
      </c>
      <c r="F503" s="5" t="s">
        <v>83</v>
      </c>
      <c r="G503" s="5" t="s">
        <v>107</v>
      </c>
      <c r="H503" s="5" t="s">
        <v>122</v>
      </c>
      <c r="I503" s="5" t="s">
        <v>63</v>
      </c>
      <c r="J503" s="5">
        <v>17.43105156</v>
      </c>
      <c r="K503" s="5">
        <v>-96.933471639999993</v>
      </c>
      <c r="L503" s="5" t="str">
        <f>HYPERLINK("https://maps.google.com/?q=17.43105156,-96.933471639999993", "🔗 Ver Mapa")</f>
        <v>🔗 Ver Mapa</v>
      </c>
    </row>
    <row r="504" spans="1:12" ht="43.5" x14ac:dyDescent="0.35">
      <c r="A504" s="6" t="s">
        <v>8</v>
      </c>
      <c r="B504" s="6" t="s">
        <v>16</v>
      </c>
      <c r="C504" s="6" t="s">
        <v>121</v>
      </c>
      <c r="D504" s="6" t="s">
        <v>35</v>
      </c>
      <c r="E504" s="6" t="s">
        <v>37</v>
      </c>
      <c r="F504" s="6" t="s">
        <v>83</v>
      </c>
      <c r="G504" s="6" t="s">
        <v>107</v>
      </c>
      <c r="H504" s="6" t="s">
        <v>122</v>
      </c>
      <c r="I504" s="6" t="s">
        <v>63</v>
      </c>
      <c r="J504" s="6">
        <v>17.431135999999999</v>
      </c>
      <c r="K504" s="6">
        <v>-96.933581000000004</v>
      </c>
      <c r="L504" s="6" t="str">
        <f>HYPERLINK("https://maps.google.com/?q=17.431136,-96.933581000000004", "🔗 Ver Mapa")</f>
        <v>🔗 Ver Mapa</v>
      </c>
    </row>
    <row r="505" spans="1:12" ht="43.5" x14ac:dyDescent="0.35">
      <c r="A505" s="5" t="s">
        <v>8</v>
      </c>
      <c r="B505" s="5" t="s">
        <v>16</v>
      </c>
      <c r="C505" s="5" t="s">
        <v>121</v>
      </c>
      <c r="D505" s="5" t="s">
        <v>35</v>
      </c>
      <c r="E505" s="5" t="s">
        <v>37</v>
      </c>
      <c r="F505" s="5" t="s">
        <v>83</v>
      </c>
      <c r="G505" s="5" t="s">
        <v>107</v>
      </c>
      <c r="H505" s="5" t="s">
        <v>122</v>
      </c>
      <c r="I505" s="5" t="s">
        <v>63</v>
      </c>
      <c r="J505" s="5">
        <v>17.431350999999999</v>
      </c>
      <c r="K505" s="5">
        <v>-96.933856000000006</v>
      </c>
      <c r="L505" s="5" t="str">
        <f>HYPERLINK("https://maps.google.com/?q=17.431351,-96.933856000000006", "🔗 Ver Mapa")</f>
        <v>🔗 Ver Mapa</v>
      </c>
    </row>
    <row r="506" spans="1:12" ht="43.5" x14ac:dyDescent="0.35">
      <c r="A506" s="6" t="s">
        <v>8</v>
      </c>
      <c r="B506" s="6" t="s">
        <v>16</v>
      </c>
      <c r="C506" s="6" t="s">
        <v>123</v>
      </c>
      <c r="D506" s="6" t="s">
        <v>35</v>
      </c>
      <c r="E506" s="6" t="s">
        <v>37</v>
      </c>
      <c r="F506" s="6" t="s">
        <v>83</v>
      </c>
      <c r="G506" s="6" t="s">
        <v>107</v>
      </c>
      <c r="H506" s="6" t="s">
        <v>124</v>
      </c>
      <c r="I506" s="6" t="s">
        <v>63</v>
      </c>
      <c r="J506" s="6">
        <v>17.326433663797999</v>
      </c>
      <c r="K506" s="6">
        <v>-96.942771666422004</v>
      </c>
      <c r="L506" s="6" t="str">
        <f>HYPERLINK("https://maps.google.com/?q=17.3264336637979,-96.942771666421905", "🔗 Ver Mapa")</f>
        <v>🔗 Ver Mapa</v>
      </c>
    </row>
    <row r="507" spans="1:12" ht="43.5" x14ac:dyDescent="0.35">
      <c r="A507" s="5" t="s">
        <v>8</v>
      </c>
      <c r="B507" s="5" t="s">
        <v>16</v>
      </c>
      <c r="C507" s="5" t="s">
        <v>123</v>
      </c>
      <c r="D507" s="5" t="s">
        <v>35</v>
      </c>
      <c r="E507" s="5" t="s">
        <v>37</v>
      </c>
      <c r="F507" s="5" t="s">
        <v>83</v>
      </c>
      <c r="G507" s="5" t="s">
        <v>107</v>
      </c>
      <c r="H507" s="5" t="s">
        <v>124</v>
      </c>
      <c r="I507" s="5" t="s">
        <v>63</v>
      </c>
      <c r="J507" s="5">
        <v>17.326526000000001</v>
      </c>
      <c r="K507" s="5">
        <v>-96.942733000000004</v>
      </c>
      <c r="L507" s="5" t="str">
        <f>HYPERLINK("https://maps.google.com/?q=17.326526,-96.942733000000004", "🔗 Ver Mapa")</f>
        <v>🔗 Ver Mapa</v>
      </c>
    </row>
    <row r="508" spans="1:12" ht="43.5" x14ac:dyDescent="0.35">
      <c r="A508" s="6" t="s">
        <v>8</v>
      </c>
      <c r="B508" s="6" t="s">
        <v>16</v>
      </c>
      <c r="C508" s="6" t="s">
        <v>123</v>
      </c>
      <c r="D508" s="6" t="s">
        <v>35</v>
      </c>
      <c r="E508" s="6" t="s">
        <v>37</v>
      </c>
      <c r="F508" s="6" t="s">
        <v>83</v>
      </c>
      <c r="G508" s="6" t="s">
        <v>107</v>
      </c>
      <c r="H508" s="6" t="s">
        <v>124</v>
      </c>
      <c r="I508" s="6" t="s">
        <v>63</v>
      </c>
      <c r="J508" s="6">
        <v>17.326529000000001</v>
      </c>
      <c r="K508" s="6">
        <v>-96.942539999999994</v>
      </c>
      <c r="L508" s="6" t="str">
        <f>HYPERLINK("https://maps.google.com/?q=17.326529,-96.942539999999994", "🔗 Ver Mapa")</f>
        <v>🔗 Ver Mapa</v>
      </c>
    </row>
    <row r="509" spans="1:12" ht="43.5" x14ac:dyDescent="0.35">
      <c r="A509" s="5" t="s">
        <v>8</v>
      </c>
      <c r="B509" s="5" t="s">
        <v>16</v>
      </c>
      <c r="C509" s="5" t="s">
        <v>125</v>
      </c>
      <c r="D509" s="5" t="s">
        <v>35</v>
      </c>
      <c r="E509" s="5" t="s">
        <v>37</v>
      </c>
      <c r="F509" s="5" t="s">
        <v>83</v>
      </c>
      <c r="G509" s="5" t="s">
        <v>107</v>
      </c>
      <c r="H509" s="5" t="s">
        <v>126</v>
      </c>
      <c r="I509" s="5" t="s">
        <v>63</v>
      </c>
      <c r="J509" s="5">
        <v>17.402035000000001</v>
      </c>
      <c r="K509" s="5">
        <v>-96.916543000000004</v>
      </c>
      <c r="L509" s="5" t="str">
        <f>HYPERLINK("https://maps.google.com/?q=17.402035,-96.916543000000004", "🔗 Ver Mapa")</f>
        <v>🔗 Ver Mapa</v>
      </c>
    </row>
    <row r="510" spans="1:12" ht="43.5" x14ac:dyDescent="0.35">
      <c r="A510" s="6" t="s">
        <v>8</v>
      </c>
      <c r="B510" s="6" t="s">
        <v>16</v>
      </c>
      <c r="C510" s="6" t="s">
        <v>127</v>
      </c>
      <c r="D510" s="6" t="s">
        <v>35</v>
      </c>
      <c r="E510" s="6" t="s">
        <v>128</v>
      </c>
      <c r="F510" s="6" t="s">
        <v>129</v>
      </c>
      <c r="G510" s="6" t="s">
        <v>130</v>
      </c>
      <c r="H510" s="6" t="s">
        <v>131</v>
      </c>
      <c r="I510" s="6" t="s">
        <v>63</v>
      </c>
      <c r="J510" s="6">
        <v>17.152968744572</v>
      </c>
      <c r="K510" s="6">
        <v>-97.733722682209006</v>
      </c>
      <c r="L510" s="6" t="str">
        <f>HYPERLINK("https://maps.google.com/?q=17.152968744572,-97.733722682209006", "🔗 Ver Mapa")</f>
        <v>🔗 Ver Mapa</v>
      </c>
    </row>
    <row r="511" spans="1:12" ht="43.5" x14ac:dyDescent="0.35">
      <c r="A511" s="5" t="s">
        <v>8</v>
      </c>
      <c r="B511" s="5" t="s">
        <v>16</v>
      </c>
      <c r="C511" s="5" t="s">
        <v>127</v>
      </c>
      <c r="D511" s="5" t="s">
        <v>35</v>
      </c>
      <c r="E511" s="5" t="s">
        <v>128</v>
      </c>
      <c r="F511" s="5" t="s">
        <v>129</v>
      </c>
      <c r="G511" s="5" t="s">
        <v>130</v>
      </c>
      <c r="H511" s="5" t="s">
        <v>131</v>
      </c>
      <c r="I511" s="5" t="s">
        <v>63</v>
      </c>
      <c r="J511" s="5">
        <v>17.153294233402999</v>
      </c>
      <c r="K511" s="5">
        <v>-97.728653307171996</v>
      </c>
      <c r="L511" s="5" t="str">
        <f>HYPERLINK("https://maps.google.com/?q=17.1532942334031,-97.728653307172394", "🔗 Ver Mapa")</f>
        <v>🔗 Ver Mapa</v>
      </c>
    </row>
    <row r="512" spans="1:12" ht="43.5" x14ac:dyDescent="0.35">
      <c r="A512" s="6" t="s">
        <v>8</v>
      </c>
      <c r="B512" s="6" t="s">
        <v>16</v>
      </c>
      <c r="C512" s="6" t="s">
        <v>127</v>
      </c>
      <c r="D512" s="6" t="s">
        <v>35</v>
      </c>
      <c r="E512" s="6" t="s">
        <v>128</v>
      </c>
      <c r="F512" s="6" t="s">
        <v>129</v>
      </c>
      <c r="G512" s="6" t="s">
        <v>130</v>
      </c>
      <c r="H512" s="6" t="s">
        <v>131</v>
      </c>
      <c r="I512" s="6" t="s">
        <v>63</v>
      </c>
      <c r="J512" s="6">
        <v>17.156046769671999</v>
      </c>
      <c r="K512" s="6">
        <v>-97.725866492007</v>
      </c>
      <c r="L512" s="6" t="str">
        <f>HYPERLINK("https://maps.google.com/?q=17.1560467696721,-97.725866492006801", "🔗 Ver Mapa")</f>
        <v>🔗 Ver Mapa</v>
      </c>
    </row>
    <row r="513" spans="1:12" ht="43.5" x14ac:dyDescent="0.35">
      <c r="A513" s="5" t="s">
        <v>8</v>
      </c>
      <c r="B513" s="5" t="s">
        <v>16</v>
      </c>
      <c r="C513" s="5" t="s">
        <v>132</v>
      </c>
      <c r="D513" s="5" t="s">
        <v>35</v>
      </c>
      <c r="E513" s="5" t="s">
        <v>128</v>
      </c>
      <c r="F513" s="5" t="s">
        <v>129</v>
      </c>
      <c r="G513" s="5" t="s">
        <v>130</v>
      </c>
      <c r="H513" s="5" t="s">
        <v>133</v>
      </c>
      <c r="I513" s="5" t="s">
        <v>63</v>
      </c>
      <c r="J513" s="5">
        <v>17.119600769992999</v>
      </c>
      <c r="K513" s="5">
        <v>-97.720056640891002</v>
      </c>
      <c r="L513" s="5" t="str">
        <f>HYPERLINK("https://maps.google.com/?q=17.1196007699931,-97.720056640891301", "🔗 Ver Mapa")</f>
        <v>🔗 Ver Mapa</v>
      </c>
    </row>
    <row r="514" spans="1:12" ht="43.5" x14ac:dyDescent="0.35">
      <c r="A514" s="6" t="s">
        <v>8</v>
      </c>
      <c r="B514" s="6" t="s">
        <v>16</v>
      </c>
      <c r="C514" s="6" t="s">
        <v>132</v>
      </c>
      <c r="D514" s="6" t="s">
        <v>35</v>
      </c>
      <c r="E514" s="6" t="s">
        <v>128</v>
      </c>
      <c r="F514" s="6" t="s">
        <v>129</v>
      </c>
      <c r="G514" s="6" t="s">
        <v>130</v>
      </c>
      <c r="H514" s="6" t="s">
        <v>133</v>
      </c>
      <c r="I514" s="6" t="s">
        <v>63</v>
      </c>
      <c r="J514" s="6">
        <v>17.120444115721</v>
      </c>
      <c r="K514" s="6">
        <v>-97.717516588954993</v>
      </c>
      <c r="L514" s="6" t="str">
        <f>HYPERLINK("https://maps.google.com/?q=17.1204441157207,-97.717516588954894", "🔗 Ver Mapa")</f>
        <v>🔗 Ver Mapa</v>
      </c>
    </row>
    <row r="515" spans="1:12" ht="43.5" x14ac:dyDescent="0.35">
      <c r="A515" s="5" t="s">
        <v>8</v>
      </c>
      <c r="B515" s="5" t="s">
        <v>16</v>
      </c>
      <c r="C515" s="5" t="s">
        <v>132</v>
      </c>
      <c r="D515" s="5" t="s">
        <v>35</v>
      </c>
      <c r="E515" s="5" t="s">
        <v>128</v>
      </c>
      <c r="F515" s="5" t="s">
        <v>129</v>
      </c>
      <c r="G515" s="5" t="s">
        <v>130</v>
      </c>
      <c r="H515" s="5" t="s">
        <v>133</v>
      </c>
      <c r="I515" s="5" t="s">
        <v>63</v>
      </c>
      <c r="J515" s="5">
        <v>17.123540002689001</v>
      </c>
      <c r="K515" s="5">
        <v>-97.710122682209004</v>
      </c>
      <c r="L515" s="5" t="str">
        <f>HYPERLINK("https://maps.google.com/?q=17.1235400026886,-97.710122682209004", "🔗 Ver Mapa")</f>
        <v>🔗 Ver Mapa</v>
      </c>
    </row>
    <row r="516" spans="1:12" ht="43.5" x14ac:dyDescent="0.35">
      <c r="A516" s="6" t="s">
        <v>8</v>
      </c>
      <c r="B516" s="6" t="s">
        <v>16</v>
      </c>
      <c r="C516" s="6" t="s">
        <v>134</v>
      </c>
      <c r="D516" s="6" t="s">
        <v>35</v>
      </c>
      <c r="E516" s="6" t="s">
        <v>128</v>
      </c>
      <c r="F516" s="6" t="s">
        <v>129</v>
      </c>
      <c r="G516" s="6" t="s">
        <v>130</v>
      </c>
      <c r="H516" s="6" t="s">
        <v>135</v>
      </c>
      <c r="I516" s="6" t="s">
        <v>63</v>
      </c>
      <c r="J516" s="6">
        <v>17.138703866837002</v>
      </c>
      <c r="K516" s="6">
        <v>-97.689715860118994</v>
      </c>
      <c r="L516" s="6" t="str">
        <f>HYPERLINK("https://maps.google.com/?q=17.1387038668375,-97.689715860118895", "🔗 Ver Mapa")</f>
        <v>🔗 Ver Mapa</v>
      </c>
    </row>
    <row r="517" spans="1:12" ht="43.5" x14ac:dyDescent="0.35">
      <c r="A517" s="5" t="s">
        <v>8</v>
      </c>
      <c r="B517" s="5" t="s">
        <v>16</v>
      </c>
      <c r="C517" s="5" t="s">
        <v>134</v>
      </c>
      <c r="D517" s="5" t="s">
        <v>35</v>
      </c>
      <c r="E517" s="5" t="s">
        <v>128</v>
      </c>
      <c r="F517" s="5" t="s">
        <v>129</v>
      </c>
      <c r="G517" s="5" t="s">
        <v>130</v>
      </c>
      <c r="H517" s="5" t="s">
        <v>135</v>
      </c>
      <c r="I517" s="5" t="s">
        <v>63</v>
      </c>
      <c r="J517" s="5">
        <v>17.145955927623</v>
      </c>
      <c r="K517" s="5">
        <v>-97.696595364418002</v>
      </c>
      <c r="L517" s="5" t="str">
        <f>HYPERLINK("https://maps.google.com/?q=17.1459559276226,-97.696595364418002", "🔗 Ver Mapa")</f>
        <v>🔗 Ver Mapa</v>
      </c>
    </row>
    <row r="518" spans="1:12" ht="43.5" x14ac:dyDescent="0.35">
      <c r="A518" s="6" t="s">
        <v>8</v>
      </c>
      <c r="B518" s="6" t="s">
        <v>16</v>
      </c>
      <c r="C518" s="6" t="s">
        <v>136</v>
      </c>
      <c r="D518" s="6" t="s">
        <v>35</v>
      </c>
      <c r="E518" s="6" t="s">
        <v>128</v>
      </c>
      <c r="F518" s="6" t="s">
        <v>129</v>
      </c>
      <c r="G518" s="6" t="s">
        <v>130</v>
      </c>
      <c r="H518" s="6" t="s">
        <v>137</v>
      </c>
      <c r="I518" s="6" t="s">
        <v>63</v>
      </c>
      <c r="J518" s="6">
        <v>17.151585426170001</v>
      </c>
      <c r="K518" s="6">
        <v>-97.742643191471004</v>
      </c>
      <c r="L518" s="6" t="str">
        <f>HYPERLINK("https://maps.google.com/?q=17.1515854261701,-97.742643191471402", "🔗 Ver Mapa")</f>
        <v>🔗 Ver Mapa</v>
      </c>
    </row>
    <row r="519" spans="1:12" ht="43.5" x14ac:dyDescent="0.35">
      <c r="A519" s="5" t="s">
        <v>8</v>
      </c>
      <c r="B519" s="5" t="s">
        <v>16</v>
      </c>
      <c r="C519" s="5" t="s">
        <v>136</v>
      </c>
      <c r="D519" s="5" t="s">
        <v>35</v>
      </c>
      <c r="E519" s="5" t="s">
        <v>128</v>
      </c>
      <c r="F519" s="5" t="s">
        <v>129</v>
      </c>
      <c r="G519" s="5" t="s">
        <v>130</v>
      </c>
      <c r="H519" s="5" t="s">
        <v>137</v>
      </c>
      <c r="I519" s="5" t="s">
        <v>63</v>
      </c>
      <c r="J519" s="5">
        <v>17.153408744694001</v>
      </c>
      <c r="K519" s="5">
        <v>-97.741519766864997</v>
      </c>
      <c r="L519" s="5" t="str">
        <f>HYPERLINK("https://maps.google.com/?q=17.1534087446936,-97.741519766864897", "🔗 Ver Mapa")</f>
        <v>🔗 Ver Mapa</v>
      </c>
    </row>
    <row r="520" spans="1:12" ht="43.5" x14ac:dyDescent="0.35">
      <c r="A520" s="6" t="s">
        <v>8</v>
      </c>
      <c r="B520" s="6" t="s">
        <v>16</v>
      </c>
      <c r="C520" s="6" t="s">
        <v>136</v>
      </c>
      <c r="D520" s="6" t="s">
        <v>35</v>
      </c>
      <c r="E520" s="6" t="s">
        <v>128</v>
      </c>
      <c r="F520" s="6" t="s">
        <v>129</v>
      </c>
      <c r="G520" s="6" t="s">
        <v>130</v>
      </c>
      <c r="H520" s="6" t="s">
        <v>137</v>
      </c>
      <c r="I520" s="6" t="s">
        <v>63</v>
      </c>
      <c r="J520" s="6">
        <v>17.160657439893999</v>
      </c>
      <c r="K520" s="6">
        <v>-97.743922682209003</v>
      </c>
      <c r="L520" s="6" t="str">
        <f>HYPERLINK("https://maps.google.com/?q=17.1606574398945,-97.743922682209003", "🔗 Ver Mapa")</f>
        <v>🔗 Ver Mapa</v>
      </c>
    </row>
    <row r="521" spans="1:12" ht="43.5" x14ac:dyDescent="0.35">
      <c r="A521" s="5" t="s">
        <v>8</v>
      </c>
      <c r="B521" s="5" t="s">
        <v>16</v>
      </c>
      <c r="C521" s="5" t="s">
        <v>138</v>
      </c>
      <c r="D521" s="5" t="s">
        <v>35</v>
      </c>
      <c r="E521" s="5" t="s">
        <v>128</v>
      </c>
      <c r="F521" s="5" t="s">
        <v>129</v>
      </c>
      <c r="G521" s="5" t="s">
        <v>130</v>
      </c>
      <c r="H521" s="5" t="s">
        <v>139</v>
      </c>
      <c r="I521" s="5" t="s">
        <v>63</v>
      </c>
      <c r="J521" s="5">
        <v>17.129906180430002</v>
      </c>
      <c r="K521" s="5">
        <v>-97.702865128975006</v>
      </c>
      <c r="L521" s="5" t="str">
        <f>HYPERLINK("https://maps.google.com/?q=17.1299061804295,-97.702865128974594", "🔗 Ver Mapa")</f>
        <v>🔗 Ver Mapa</v>
      </c>
    </row>
    <row r="522" spans="1:12" ht="43.5" x14ac:dyDescent="0.35">
      <c r="A522" s="6" t="s">
        <v>8</v>
      </c>
      <c r="B522" s="6" t="s">
        <v>16</v>
      </c>
      <c r="C522" s="6" t="s">
        <v>138</v>
      </c>
      <c r="D522" s="6" t="s">
        <v>35</v>
      </c>
      <c r="E522" s="6" t="s">
        <v>128</v>
      </c>
      <c r="F522" s="6" t="s">
        <v>129</v>
      </c>
      <c r="G522" s="6" t="s">
        <v>130</v>
      </c>
      <c r="H522" s="6" t="s">
        <v>139</v>
      </c>
      <c r="I522" s="6" t="s">
        <v>63</v>
      </c>
      <c r="J522" s="6">
        <v>17.132876934039</v>
      </c>
      <c r="K522" s="6">
        <v>-97.701977317791005</v>
      </c>
      <c r="L522" s="6" t="str">
        <f>HYPERLINK("https://maps.google.com/?q=17.1328769340386,-97.701977317791005", "🔗 Ver Mapa")</f>
        <v>🔗 Ver Mapa</v>
      </c>
    </row>
    <row r="523" spans="1:12" ht="43.5" x14ac:dyDescent="0.35">
      <c r="A523" s="5" t="s">
        <v>8</v>
      </c>
      <c r="B523" s="5" t="s">
        <v>16</v>
      </c>
      <c r="C523" s="5" t="s">
        <v>138</v>
      </c>
      <c r="D523" s="5" t="s">
        <v>35</v>
      </c>
      <c r="E523" s="5" t="s">
        <v>128</v>
      </c>
      <c r="F523" s="5" t="s">
        <v>129</v>
      </c>
      <c r="G523" s="5" t="s">
        <v>130</v>
      </c>
      <c r="H523" s="5" t="s">
        <v>139</v>
      </c>
      <c r="I523" s="5" t="s">
        <v>63</v>
      </c>
      <c r="J523" s="5">
        <v>17.134847439533999</v>
      </c>
      <c r="K523" s="5">
        <v>-97.710642682208999</v>
      </c>
      <c r="L523" s="5" t="str">
        <f>HYPERLINK("https://maps.google.com/?q=17.134847439534,-97.710642682208999", "🔗 Ver Mapa")</f>
        <v>🔗 Ver Mapa</v>
      </c>
    </row>
    <row r="524" spans="1:12" ht="43.5" x14ac:dyDescent="0.35">
      <c r="A524" s="6" t="s">
        <v>8</v>
      </c>
      <c r="B524" s="6" t="s">
        <v>16</v>
      </c>
      <c r="C524" s="6" t="s">
        <v>138</v>
      </c>
      <c r="D524" s="6" t="s">
        <v>35</v>
      </c>
      <c r="E524" s="6" t="s">
        <v>128</v>
      </c>
      <c r="F524" s="6" t="s">
        <v>129</v>
      </c>
      <c r="G524" s="6" t="s">
        <v>130</v>
      </c>
      <c r="H524" s="6" t="s">
        <v>139</v>
      </c>
      <c r="I524" s="6" t="s">
        <v>63</v>
      </c>
      <c r="J524" s="6">
        <v>17.144314624537</v>
      </c>
      <c r="K524" s="6">
        <v>-97.707093411044994</v>
      </c>
      <c r="L524" s="6" t="str">
        <f>HYPERLINK("https://maps.google.com/?q=17.1443146245374,-97.707093411045093", "🔗 Ver Mapa")</f>
        <v>🔗 Ver Mapa</v>
      </c>
    </row>
    <row r="525" spans="1:12" ht="43.5" x14ac:dyDescent="0.35">
      <c r="A525" s="5" t="s">
        <v>8</v>
      </c>
      <c r="B525" s="5" t="s">
        <v>16</v>
      </c>
      <c r="C525" s="5" t="s">
        <v>140</v>
      </c>
      <c r="D525" s="5" t="s">
        <v>35</v>
      </c>
      <c r="E525" s="5" t="s">
        <v>128</v>
      </c>
      <c r="F525" s="5" t="s">
        <v>129</v>
      </c>
      <c r="G525" s="5" t="s">
        <v>130</v>
      </c>
      <c r="H525" s="5" t="s">
        <v>141</v>
      </c>
      <c r="I525" s="5" t="s">
        <v>63</v>
      </c>
      <c r="J525" s="5">
        <v>17.162093119298</v>
      </c>
      <c r="K525" s="5">
        <v>-97.720812449074003</v>
      </c>
      <c r="L525" s="5" t="str">
        <f>HYPERLINK("https://maps.google.com/?q=17.1620931192983,-97.720812449073804", "🔗 Ver Mapa")</f>
        <v>🔗 Ver Mapa</v>
      </c>
    </row>
    <row r="526" spans="1:12" ht="43.5" x14ac:dyDescent="0.35">
      <c r="A526" s="6" t="s">
        <v>8</v>
      </c>
      <c r="B526" s="6" t="s">
        <v>16</v>
      </c>
      <c r="C526" s="6" t="s">
        <v>140</v>
      </c>
      <c r="D526" s="6" t="s">
        <v>35</v>
      </c>
      <c r="E526" s="6" t="s">
        <v>128</v>
      </c>
      <c r="F526" s="6" t="s">
        <v>129</v>
      </c>
      <c r="G526" s="6" t="s">
        <v>130</v>
      </c>
      <c r="H526" s="6" t="s">
        <v>141</v>
      </c>
      <c r="I526" s="6" t="s">
        <v>63</v>
      </c>
      <c r="J526" s="6">
        <v>17.162310955506001</v>
      </c>
      <c r="K526" s="6">
        <v>-97.724578270530003</v>
      </c>
      <c r="L526" s="6" t="str">
        <f>HYPERLINK("https://maps.google.com/?q=17.1623109555063,-97.724578270529605", "🔗 Ver Mapa")</f>
        <v>🔗 Ver Mapa</v>
      </c>
    </row>
    <row r="527" spans="1:12" ht="43.5" x14ac:dyDescent="0.35">
      <c r="A527" s="5" t="s">
        <v>8</v>
      </c>
      <c r="B527" s="5" t="s">
        <v>16</v>
      </c>
      <c r="C527" s="5" t="s">
        <v>142</v>
      </c>
      <c r="D527" s="5" t="s">
        <v>35</v>
      </c>
      <c r="E527" s="5" t="s">
        <v>128</v>
      </c>
      <c r="F527" s="5" t="s">
        <v>129</v>
      </c>
      <c r="G527" s="5" t="s">
        <v>130</v>
      </c>
      <c r="H527" s="5" t="s">
        <v>143</v>
      </c>
      <c r="I527" s="5" t="s">
        <v>63</v>
      </c>
      <c r="J527" s="5">
        <v>17.154084924191999</v>
      </c>
      <c r="K527" s="5">
        <v>-97.717527084655998</v>
      </c>
      <c r="L527" s="5" t="str">
        <f>HYPERLINK("https://maps.google.com/?q=17.1540849241917,-97.717527084655799", "🔗 Ver Mapa")</f>
        <v>🔗 Ver Mapa</v>
      </c>
    </row>
    <row r="528" spans="1:12" ht="43.5" x14ac:dyDescent="0.35">
      <c r="A528" s="6" t="s">
        <v>8</v>
      </c>
      <c r="B528" s="6" t="s">
        <v>16</v>
      </c>
      <c r="C528" s="6" t="s">
        <v>142</v>
      </c>
      <c r="D528" s="6" t="s">
        <v>35</v>
      </c>
      <c r="E528" s="6" t="s">
        <v>128</v>
      </c>
      <c r="F528" s="6" t="s">
        <v>129</v>
      </c>
      <c r="G528" s="6" t="s">
        <v>130</v>
      </c>
      <c r="H528" s="6" t="s">
        <v>143</v>
      </c>
      <c r="I528" s="6" t="s">
        <v>63</v>
      </c>
      <c r="J528" s="6">
        <v>17.154515489383002</v>
      </c>
      <c r="K528" s="6">
        <v>-97.718071573085993</v>
      </c>
      <c r="L528" s="6" t="str">
        <f>HYPERLINK("https://maps.google.com/?q=17.1545154893833,-97.718071573085595", "🔗 Ver Mapa")</f>
        <v>🔗 Ver Mapa</v>
      </c>
    </row>
    <row r="529" spans="1:12" ht="43.5" x14ac:dyDescent="0.35">
      <c r="A529" s="5" t="s">
        <v>8</v>
      </c>
      <c r="B529" s="5" t="s">
        <v>16</v>
      </c>
      <c r="C529" s="5" t="s">
        <v>142</v>
      </c>
      <c r="D529" s="5" t="s">
        <v>35</v>
      </c>
      <c r="E529" s="5" t="s">
        <v>128</v>
      </c>
      <c r="F529" s="5" t="s">
        <v>129</v>
      </c>
      <c r="G529" s="5" t="s">
        <v>130</v>
      </c>
      <c r="H529" s="5" t="s">
        <v>143</v>
      </c>
      <c r="I529" s="5" t="s">
        <v>63</v>
      </c>
      <c r="J529" s="5">
        <v>17.155051131591001</v>
      </c>
      <c r="K529" s="5">
        <v>-97.719833784407996</v>
      </c>
      <c r="L529" s="5" t="str">
        <f>HYPERLINK("https://maps.google.com/?q=17.1550511315906,-97.719833784407896", "🔗 Ver Mapa")</f>
        <v>🔗 Ver Mapa</v>
      </c>
    </row>
    <row r="530" spans="1:12" ht="43.5" x14ac:dyDescent="0.35">
      <c r="A530" s="6" t="s">
        <v>8</v>
      </c>
      <c r="B530" s="6" t="s">
        <v>16</v>
      </c>
      <c r="C530" s="6" t="s">
        <v>142</v>
      </c>
      <c r="D530" s="6" t="s">
        <v>35</v>
      </c>
      <c r="E530" s="6" t="s">
        <v>128</v>
      </c>
      <c r="F530" s="6" t="s">
        <v>129</v>
      </c>
      <c r="G530" s="6" t="s">
        <v>130</v>
      </c>
      <c r="H530" s="6" t="s">
        <v>143</v>
      </c>
      <c r="I530" s="6" t="s">
        <v>63</v>
      </c>
      <c r="J530" s="6">
        <v>17.155673909821001</v>
      </c>
      <c r="K530" s="6">
        <v>-97.716161840268001</v>
      </c>
      <c r="L530" s="6" t="str">
        <f>HYPERLINK("https://maps.google.com/?q=17.1556739098212,-97.716161840267603", "🔗 Ver Mapa")</f>
        <v>🔗 Ver Mapa</v>
      </c>
    </row>
    <row r="531" spans="1:12" ht="43.5" x14ac:dyDescent="0.35">
      <c r="A531" s="5" t="s">
        <v>8</v>
      </c>
      <c r="B531" s="5" t="s">
        <v>16</v>
      </c>
      <c r="C531" s="5" t="s">
        <v>142</v>
      </c>
      <c r="D531" s="5" t="s">
        <v>35</v>
      </c>
      <c r="E531" s="5" t="s">
        <v>128</v>
      </c>
      <c r="F531" s="5" t="s">
        <v>129</v>
      </c>
      <c r="G531" s="5" t="s">
        <v>130</v>
      </c>
      <c r="H531" s="5" t="s">
        <v>143</v>
      </c>
      <c r="I531" s="5" t="s">
        <v>63</v>
      </c>
      <c r="J531" s="5">
        <v>17.156617043244999</v>
      </c>
      <c r="K531" s="5">
        <v>-97.719686262912006</v>
      </c>
      <c r="L531" s="5" t="str">
        <f>HYPERLINK("https://maps.google.com/?q=17.1566170432453,-97.719686262912106", "🔗 Ver Mapa")</f>
        <v>🔗 Ver Mapa</v>
      </c>
    </row>
    <row r="532" spans="1:12" ht="43.5" x14ac:dyDescent="0.35">
      <c r="A532" s="6" t="s">
        <v>8</v>
      </c>
      <c r="B532" s="6" t="s">
        <v>16</v>
      </c>
      <c r="C532" s="6" t="s">
        <v>142</v>
      </c>
      <c r="D532" s="6" t="s">
        <v>35</v>
      </c>
      <c r="E532" s="6" t="s">
        <v>128</v>
      </c>
      <c r="F532" s="6" t="s">
        <v>129</v>
      </c>
      <c r="G532" s="6" t="s">
        <v>130</v>
      </c>
      <c r="H532" s="6" t="s">
        <v>143</v>
      </c>
      <c r="I532" s="6" t="s">
        <v>63</v>
      </c>
      <c r="J532" s="6">
        <v>17.156765688837002</v>
      </c>
      <c r="K532" s="6">
        <v>-97.719900839632999</v>
      </c>
      <c r="L532" s="6" t="str">
        <f>HYPERLINK("https://maps.google.com/?q=17.1567656888369,-97.719900839633198", "🔗 Ver Mapa")</f>
        <v>🔗 Ver Mapa</v>
      </c>
    </row>
    <row r="533" spans="1:12" ht="43.5" x14ac:dyDescent="0.35">
      <c r="A533" s="5" t="s">
        <v>8</v>
      </c>
      <c r="B533" s="5" t="s">
        <v>16</v>
      </c>
      <c r="C533" s="5" t="s">
        <v>144</v>
      </c>
      <c r="D533" s="5" t="s">
        <v>35</v>
      </c>
      <c r="E533" s="5" t="s">
        <v>128</v>
      </c>
      <c r="F533" s="5" t="s">
        <v>129</v>
      </c>
      <c r="G533" s="5" t="s">
        <v>130</v>
      </c>
      <c r="H533" s="5" t="s">
        <v>145</v>
      </c>
      <c r="I533" s="5" t="s">
        <v>63</v>
      </c>
      <c r="J533" s="5">
        <v>17.174604627051998</v>
      </c>
      <c r="K533" s="5">
        <v>-97.714031224536996</v>
      </c>
      <c r="L533" s="5" t="str">
        <f>HYPERLINK("https://maps.google.com/?q=17.1746046270525,-97.714031224536896", "🔗 Ver Mapa")</f>
        <v>🔗 Ver Mapa</v>
      </c>
    </row>
    <row r="534" spans="1:12" ht="43.5" x14ac:dyDescent="0.35">
      <c r="A534" s="6" t="s">
        <v>8</v>
      </c>
      <c r="B534" s="6" t="s">
        <v>16</v>
      </c>
      <c r="C534" s="6" t="s">
        <v>144</v>
      </c>
      <c r="D534" s="6" t="s">
        <v>35</v>
      </c>
      <c r="E534" s="6" t="s">
        <v>128</v>
      </c>
      <c r="F534" s="6" t="s">
        <v>129</v>
      </c>
      <c r="G534" s="6" t="s">
        <v>130</v>
      </c>
      <c r="H534" s="6" t="s">
        <v>145</v>
      </c>
      <c r="I534" s="6" t="s">
        <v>63</v>
      </c>
      <c r="J534" s="6">
        <v>17.181983627586</v>
      </c>
      <c r="K534" s="6">
        <v>-97.710391953373005</v>
      </c>
      <c r="L534" s="6" t="str">
        <f>HYPERLINK("https://maps.google.com/?q=17.1819836275857,-97.710391953373005", "🔗 Ver Mapa")</f>
        <v>🔗 Ver Mapa</v>
      </c>
    </row>
    <row r="535" spans="1:12" ht="43.5" x14ac:dyDescent="0.35">
      <c r="A535" s="5" t="s">
        <v>8</v>
      </c>
      <c r="B535" s="5" t="s">
        <v>16</v>
      </c>
      <c r="C535" s="5" t="s">
        <v>146</v>
      </c>
      <c r="D535" s="5" t="s">
        <v>35</v>
      </c>
      <c r="E535" s="5" t="s">
        <v>128</v>
      </c>
      <c r="F535" s="5" t="s">
        <v>129</v>
      </c>
      <c r="G535" s="5" t="s">
        <v>130</v>
      </c>
      <c r="H535" s="5" t="s">
        <v>147</v>
      </c>
      <c r="I535" s="5" t="s">
        <v>63</v>
      </c>
      <c r="J535" s="5">
        <v>17.147390679310998</v>
      </c>
      <c r="K535" s="5">
        <v>-97.700885572738997</v>
      </c>
      <c r="L535" s="5" t="str">
        <f>HYPERLINK("https://maps.google.com/?q=17.1473906793111,-97.700885572739196", "🔗 Ver Mapa")</f>
        <v>🔗 Ver Mapa</v>
      </c>
    </row>
    <row r="536" spans="1:12" ht="43.5" x14ac:dyDescent="0.35">
      <c r="A536" s="6" t="s">
        <v>8</v>
      </c>
      <c r="B536" s="6" t="s">
        <v>16</v>
      </c>
      <c r="C536" s="6" t="s">
        <v>146</v>
      </c>
      <c r="D536" s="6" t="s">
        <v>35</v>
      </c>
      <c r="E536" s="6" t="s">
        <v>128</v>
      </c>
      <c r="F536" s="6" t="s">
        <v>129</v>
      </c>
      <c r="G536" s="6" t="s">
        <v>130</v>
      </c>
      <c r="H536" s="6" t="s">
        <v>147</v>
      </c>
      <c r="I536" s="6" t="s">
        <v>63</v>
      </c>
      <c r="J536" s="6">
        <v>17.148011558074</v>
      </c>
      <c r="K536" s="6">
        <v>-97.705753906745997</v>
      </c>
      <c r="L536" s="6" t="str">
        <f>HYPERLINK("https://maps.google.com/?q=17.1480115580738,-97.705753906745898", "🔗 Ver Mapa")</f>
        <v>🔗 Ver Mapa</v>
      </c>
    </row>
    <row r="537" spans="1:12" ht="43.5" x14ac:dyDescent="0.35">
      <c r="A537" s="5" t="s">
        <v>8</v>
      </c>
      <c r="B537" s="5" t="s">
        <v>16</v>
      </c>
      <c r="C537" s="5" t="s">
        <v>146</v>
      </c>
      <c r="D537" s="5" t="s">
        <v>35</v>
      </c>
      <c r="E537" s="5" t="s">
        <v>128</v>
      </c>
      <c r="F537" s="5" t="s">
        <v>129</v>
      </c>
      <c r="G537" s="5" t="s">
        <v>130</v>
      </c>
      <c r="H537" s="5" t="s">
        <v>147</v>
      </c>
      <c r="I537" s="5" t="s">
        <v>63</v>
      </c>
      <c r="J537" s="5">
        <v>17.149310343977</v>
      </c>
      <c r="K537" s="5">
        <v>-97.703806498356002</v>
      </c>
      <c r="L537" s="5" t="str">
        <f>HYPERLINK("https://maps.google.com/?q=17.1493103439768,-97.703806498355505", "🔗 Ver Mapa")</f>
        <v>🔗 Ver Mapa</v>
      </c>
    </row>
    <row r="538" spans="1:12" ht="43.5" x14ac:dyDescent="0.35">
      <c r="A538" s="6" t="s">
        <v>8</v>
      </c>
      <c r="B538" s="6" t="s">
        <v>16</v>
      </c>
      <c r="C538" s="6" t="s">
        <v>146</v>
      </c>
      <c r="D538" s="6" t="s">
        <v>35</v>
      </c>
      <c r="E538" s="6" t="s">
        <v>128</v>
      </c>
      <c r="F538" s="6" t="s">
        <v>129</v>
      </c>
      <c r="G538" s="6" t="s">
        <v>130</v>
      </c>
      <c r="H538" s="6" t="s">
        <v>147</v>
      </c>
      <c r="I538" s="6" t="s">
        <v>63</v>
      </c>
      <c r="J538" s="6">
        <v>17.149471810192999</v>
      </c>
      <c r="K538" s="6">
        <v>-97.702591457672</v>
      </c>
      <c r="L538" s="6" t="str">
        <f>HYPERLINK("https://maps.google.com/?q=17.1494718101933,-97.702591457672099", "🔗 Ver Mapa")</f>
        <v>🔗 Ver Mapa</v>
      </c>
    </row>
    <row r="539" spans="1:12" ht="43.5" x14ac:dyDescent="0.35">
      <c r="A539" s="5" t="s">
        <v>8</v>
      </c>
      <c r="B539" s="5" t="s">
        <v>16</v>
      </c>
      <c r="C539" s="5" t="s">
        <v>146</v>
      </c>
      <c r="D539" s="5" t="s">
        <v>35</v>
      </c>
      <c r="E539" s="5" t="s">
        <v>128</v>
      </c>
      <c r="F539" s="5" t="s">
        <v>129</v>
      </c>
      <c r="G539" s="5" t="s">
        <v>130</v>
      </c>
      <c r="H539" s="5" t="s">
        <v>147</v>
      </c>
      <c r="I539" s="5" t="s">
        <v>63</v>
      </c>
      <c r="J539" s="5">
        <v>17.149802431055999</v>
      </c>
      <c r="K539" s="5">
        <v>-97.702604868717003</v>
      </c>
      <c r="L539" s="5" t="str">
        <f>HYPERLINK("https://maps.google.com/?q=17.1498024310558,-97.702604868717202", "🔗 Ver Mapa")</f>
        <v>🔗 Ver Mapa</v>
      </c>
    </row>
    <row r="540" spans="1:12" ht="43.5" x14ac:dyDescent="0.35">
      <c r="A540" s="6" t="s">
        <v>8</v>
      </c>
      <c r="B540" s="6" t="s">
        <v>16</v>
      </c>
      <c r="C540" s="6" t="s">
        <v>146</v>
      </c>
      <c r="D540" s="6" t="s">
        <v>35</v>
      </c>
      <c r="E540" s="6" t="s">
        <v>128</v>
      </c>
      <c r="F540" s="6" t="s">
        <v>129</v>
      </c>
      <c r="G540" s="6" t="s">
        <v>130</v>
      </c>
      <c r="H540" s="6" t="s">
        <v>147</v>
      </c>
      <c r="I540" s="6" t="s">
        <v>63</v>
      </c>
      <c r="J540" s="6">
        <v>17.150796853047002</v>
      </c>
      <c r="K540" s="6">
        <v>-97.702030875988001</v>
      </c>
      <c r="L540" s="6" t="str">
        <f>HYPERLINK("https://maps.google.com/?q=17.150796853047,-97.7020308759882", "🔗 Ver Mapa")</f>
        <v>🔗 Ver Mapa</v>
      </c>
    </row>
    <row r="541" spans="1:12" ht="43.5" x14ac:dyDescent="0.35">
      <c r="A541" s="5" t="s">
        <v>8</v>
      </c>
      <c r="B541" s="5" t="s">
        <v>16</v>
      </c>
      <c r="C541" s="5" t="s">
        <v>146</v>
      </c>
      <c r="D541" s="5" t="s">
        <v>35</v>
      </c>
      <c r="E541" s="5" t="s">
        <v>128</v>
      </c>
      <c r="F541" s="5" t="s">
        <v>129</v>
      </c>
      <c r="G541" s="5" t="s">
        <v>130</v>
      </c>
      <c r="H541" s="5" t="s">
        <v>147</v>
      </c>
      <c r="I541" s="5" t="s">
        <v>63</v>
      </c>
      <c r="J541" s="5">
        <v>17.153083943028001</v>
      </c>
      <c r="K541" s="5">
        <v>-97.709812504298995</v>
      </c>
      <c r="L541" s="5" t="str">
        <f>HYPERLINK("https://maps.google.com/?q=17.1530839430282,-97.709812504299194", "🔗 Ver Mapa")</f>
        <v>🔗 Ver Mapa</v>
      </c>
    </row>
    <row r="542" spans="1:12" ht="43.5" x14ac:dyDescent="0.35">
      <c r="A542" s="6" t="s">
        <v>8</v>
      </c>
      <c r="B542" s="6" t="s">
        <v>16</v>
      </c>
      <c r="C542" s="6" t="s">
        <v>146</v>
      </c>
      <c r="D542" s="6" t="s">
        <v>35</v>
      </c>
      <c r="E542" s="6" t="s">
        <v>128</v>
      </c>
      <c r="F542" s="6" t="s">
        <v>129</v>
      </c>
      <c r="G542" s="6" t="s">
        <v>130</v>
      </c>
      <c r="H542" s="6" t="s">
        <v>147</v>
      </c>
      <c r="I542" s="6" t="s">
        <v>63</v>
      </c>
      <c r="J542" s="6">
        <v>17.160720555931</v>
      </c>
      <c r="K542" s="6">
        <v>-97.703842449074003</v>
      </c>
      <c r="L542" s="6" t="str">
        <f>HYPERLINK("https://maps.google.com/?q=17.160720555931,-97.703842449073804", "🔗 Ver Mapa")</f>
        <v>🔗 Ver Mapa</v>
      </c>
    </row>
    <row r="543" spans="1:12" ht="43.5" x14ac:dyDescent="0.35">
      <c r="A543" s="5" t="s">
        <v>8</v>
      </c>
      <c r="B543" s="5" t="s">
        <v>16</v>
      </c>
      <c r="C543" s="5" t="s">
        <v>148</v>
      </c>
      <c r="D543" s="5" t="s">
        <v>35</v>
      </c>
      <c r="E543" s="5" t="s">
        <v>128</v>
      </c>
      <c r="F543" s="5" t="s">
        <v>129</v>
      </c>
      <c r="G543" s="5" t="s">
        <v>130</v>
      </c>
      <c r="H543" s="5" t="s">
        <v>149</v>
      </c>
      <c r="I543" s="5" t="s">
        <v>63</v>
      </c>
      <c r="J543" s="5">
        <v>17.173143</v>
      </c>
      <c r="K543" s="5">
        <v>-97.725340000000003</v>
      </c>
      <c r="L543" s="5" t="str">
        <f>HYPERLINK("https://maps.google.com/?q=17.173143,-97.725340000000003", "🔗 Ver Mapa")</f>
        <v>🔗 Ver Mapa</v>
      </c>
    </row>
    <row r="544" spans="1:12" ht="43.5" x14ac:dyDescent="0.35">
      <c r="A544" s="6" t="s">
        <v>8</v>
      </c>
      <c r="B544" s="6" t="s">
        <v>16</v>
      </c>
      <c r="C544" s="6" t="s">
        <v>148</v>
      </c>
      <c r="D544" s="6" t="s">
        <v>35</v>
      </c>
      <c r="E544" s="6" t="s">
        <v>128</v>
      </c>
      <c r="F544" s="6" t="s">
        <v>129</v>
      </c>
      <c r="G544" s="6" t="s">
        <v>130</v>
      </c>
      <c r="H544" s="6" t="s">
        <v>149</v>
      </c>
      <c r="I544" s="6" t="s">
        <v>63</v>
      </c>
      <c r="J544" s="6">
        <v>17.175542</v>
      </c>
      <c r="K544" s="6">
        <v>-97.727834000000001</v>
      </c>
      <c r="L544" s="6" t="str">
        <f>HYPERLINK("https://maps.google.com/?q=17.175542,-97.727834000000001", "🔗 Ver Mapa")</f>
        <v>🔗 Ver Mapa</v>
      </c>
    </row>
    <row r="545" spans="1:12" ht="43.5" x14ac:dyDescent="0.35">
      <c r="A545" s="5" t="s">
        <v>8</v>
      </c>
      <c r="B545" s="5" t="s">
        <v>16</v>
      </c>
      <c r="C545" s="5" t="s">
        <v>148</v>
      </c>
      <c r="D545" s="5" t="s">
        <v>35</v>
      </c>
      <c r="E545" s="5" t="s">
        <v>128</v>
      </c>
      <c r="F545" s="5" t="s">
        <v>129</v>
      </c>
      <c r="G545" s="5" t="s">
        <v>130</v>
      </c>
      <c r="H545" s="5" t="s">
        <v>149</v>
      </c>
      <c r="I545" s="5" t="s">
        <v>63</v>
      </c>
      <c r="J545" s="5">
        <v>17.177803000000001</v>
      </c>
      <c r="K545" s="5">
        <v>-97.72663</v>
      </c>
      <c r="L545" s="5" t="str">
        <f>HYPERLINK("https://maps.google.com/?q=17.177803,-97.72663", "🔗 Ver Mapa")</f>
        <v>🔗 Ver Mapa</v>
      </c>
    </row>
    <row r="546" spans="1:12" ht="43.5" x14ac:dyDescent="0.35">
      <c r="A546" s="6" t="s">
        <v>8</v>
      </c>
      <c r="B546" s="6" t="s">
        <v>16</v>
      </c>
      <c r="C546" s="6" t="s">
        <v>148</v>
      </c>
      <c r="D546" s="6" t="s">
        <v>35</v>
      </c>
      <c r="E546" s="6" t="s">
        <v>128</v>
      </c>
      <c r="F546" s="6" t="s">
        <v>129</v>
      </c>
      <c r="G546" s="6" t="s">
        <v>130</v>
      </c>
      <c r="H546" s="6" t="s">
        <v>149</v>
      </c>
      <c r="I546" s="6" t="s">
        <v>63</v>
      </c>
      <c r="J546" s="6">
        <v>17.178026193813</v>
      </c>
      <c r="K546" s="6">
        <v>-97.726594169311994</v>
      </c>
      <c r="L546" s="6" t="str">
        <f>HYPERLINK("https://maps.google.com/?q=17.1780261938129,-97.726594169311596", "🔗 Ver Mapa")</f>
        <v>🔗 Ver Mapa</v>
      </c>
    </row>
    <row r="547" spans="1:12" ht="43.5" x14ac:dyDescent="0.35">
      <c r="A547" s="5" t="s">
        <v>8</v>
      </c>
      <c r="B547" s="5" t="s">
        <v>16</v>
      </c>
      <c r="C547" s="5" t="s">
        <v>150</v>
      </c>
      <c r="D547" s="5" t="s">
        <v>35</v>
      </c>
      <c r="E547" s="5" t="s">
        <v>128</v>
      </c>
      <c r="F547" s="5" t="s">
        <v>129</v>
      </c>
      <c r="G547" s="5" t="s">
        <v>130</v>
      </c>
      <c r="H547" s="5" t="s">
        <v>151</v>
      </c>
      <c r="I547" s="5" t="s">
        <v>63</v>
      </c>
      <c r="J547" s="5">
        <v>17.185461753557998</v>
      </c>
      <c r="K547" s="5">
        <v>-97.723887317790997</v>
      </c>
      <c r="L547" s="5" t="str">
        <f>HYPERLINK("https://maps.google.com/?q=17.1854617535579,-97.723887317790997", "🔗 Ver Mapa")</f>
        <v>🔗 Ver Mapa</v>
      </c>
    </row>
    <row r="548" spans="1:12" ht="58" x14ac:dyDescent="0.35">
      <c r="A548" s="6" t="s">
        <v>8</v>
      </c>
      <c r="B548" s="6" t="s">
        <v>16</v>
      </c>
      <c r="C548" s="6" t="s">
        <v>152</v>
      </c>
      <c r="D548" s="6" t="s">
        <v>35</v>
      </c>
      <c r="E548" s="6" t="s">
        <v>128</v>
      </c>
      <c r="F548" s="6" t="s">
        <v>129</v>
      </c>
      <c r="G548" s="6" t="s">
        <v>130</v>
      </c>
      <c r="H548" s="6" t="s">
        <v>153</v>
      </c>
      <c r="I548" s="6" t="s">
        <v>63</v>
      </c>
      <c r="J548" s="6">
        <v>17.191051816521</v>
      </c>
      <c r="K548" s="6">
        <v>-97.715438542328002</v>
      </c>
      <c r="L548" s="6" t="str">
        <f>HYPERLINK("https://maps.google.com/?q=17.1910518165212,-97.715438542327902", "🔗 Ver Mapa")</f>
        <v>🔗 Ver Mapa</v>
      </c>
    </row>
    <row r="549" spans="1:12" ht="58" x14ac:dyDescent="0.35">
      <c r="A549" s="5" t="s">
        <v>8</v>
      </c>
      <c r="B549" s="5" t="s">
        <v>16</v>
      </c>
      <c r="C549" s="5" t="s">
        <v>152</v>
      </c>
      <c r="D549" s="5" t="s">
        <v>35</v>
      </c>
      <c r="E549" s="5" t="s">
        <v>128</v>
      </c>
      <c r="F549" s="5" t="s">
        <v>129</v>
      </c>
      <c r="G549" s="5" t="s">
        <v>130</v>
      </c>
      <c r="H549" s="5" t="s">
        <v>153</v>
      </c>
      <c r="I549" s="5" t="s">
        <v>63</v>
      </c>
      <c r="J549" s="5">
        <v>17.19228</v>
      </c>
      <c r="K549" s="5">
        <v>-97.717954000000006</v>
      </c>
      <c r="L549" s="5" t="str">
        <f>HYPERLINK("https://maps.google.com/?q=17.19228,-97.717954000000006", "🔗 Ver Mapa")</f>
        <v>🔗 Ver Mapa</v>
      </c>
    </row>
    <row r="550" spans="1:12" ht="101.5" x14ac:dyDescent="0.35">
      <c r="A550" s="6" t="s">
        <v>154</v>
      </c>
      <c r="B550" s="6" t="s">
        <v>155</v>
      </c>
      <c r="C550" s="6" t="s">
        <v>156</v>
      </c>
      <c r="D550" s="6" t="s">
        <v>157</v>
      </c>
      <c r="E550" s="6" t="s">
        <v>37</v>
      </c>
      <c r="F550" s="6" t="s">
        <v>41</v>
      </c>
      <c r="G550" s="6" t="s">
        <v>158</v>
      </c>
      <c r="H550" s="6" t="s">
        <v>159</v>
      </c>
      <c r="I550" s="6" t="s">
        <v>63</v>
      </c>
      <c r="J550" s="6">
        <v>17.063016000000001</v>
      </c>
      <c r="K550" s="6">
        <v>-96.821383999999995</v>
      </c>
      <c r="L550" s="6" t="str">
        <f>HYPERLINK("https://maps.google.com/?q=17.063016,-96.821384", "🔗 Ver Mapa")</f>
        <v>🔗 Ver Mapa</v>
      </c>
    </row>
    <row r="551" spans="1:12" ht="101.5" x14ac:dyDescent="0.35">
      <c r="A551" s="5" t="s">
        <v>154</v>
      </c>
      <c r="B551" s="5" t="s">
        <v>155</v>
      </c>
      <c r="C551" s="5" t="s">
        <v>156</v>
      </c>
      <c r="D551" s="5" t="s">
        <v>157</v>
      </c>
      <c r="E551" s="5" t="s">
        <v>37</v>
      </c>
      <c r="F551" s="5" t="s">
        <v>41</v>
      </c>
      <c r="G551" s="5" t="s">
        <v>158</v>
      </c>
      <c r="H551" s="5" t="s">
        <v>159</v>
      </c>
      <c r="I551" s="5" t="s">
        <v>63</v>
      </c>
      <c r="J551" s="5">
        <v>17.063933622021001</v>
      </c>
      <c r="K551" s="5">
        <v>-96.830101387119996</v>
      </c>
      <c r="L551" s="5" t="str">
        <f>HYPERLINK("https://maps.google.com/?q=17.06393362202123,-96.83010138712035", "🔗 Ver Mapa")</f>
        <v>🔗 Ver Mapa</v>
      </c>
    </row>
    <row r="552" spans="1:12" ht="101.5" x14ac:dyDescent="0.35">
      <c r="A552" s="6" t="s">
        <v>154</v>
      </c>
      <c r="B552" s="6" t="s">
        <v>155</v>
      </c>
      <c r="C552" s="6" t="s">
        <v>156</v>
      </c>
      <c r="D552" s="6" t="s">
        <v>157</v>
      </c>
      <c r="E552" s="6" t="s">
        <v>37</v>
      </c>
      <c r="F552" s="6" t="s">
        <v>41</v>
      </c>
      <c r="G552" s="6" t="s">
        <v>158</v>
      </c>
      <c r="H552" s="6" t="s">
        <v>159</v>
      </c>
      <c r="I552" s="6" t="s">
        <v>63</v>
      </c>
      <c r="J552" s="6">
        <v>17.064177999999998</v>
      </c>
      <c r="K552" s="6" t="s">
        <v>160</v>
      </c>
      <c r="L552" s="6" t="str">
        <f>HYPERLINK("https://maps.google.com/?q=17.064178,	-96.810364", "🔗 Ver Mapa")</f>
        <v>🔗 Ver Mapa</v>
      </c>
    </row>
    <row r="553" spans="1:12" ht="101.5" x14ac:dyDescent="0.35">
      <c r="A553" s="5" t="s">
        <v>154</v>
      </c>
      <c r="B553" s="5" t="s">
        <v>155</v>
      </c>
      <c r="C553" s="5" t="s">
        <v>156</v>
      </c>
      <c r="D553" s="5" t="s">
        <v>157</v>
      </c>
      <c r="E553" s="5" t="s">
        <v>37</v>
      </c>
      <c r="F553" s="5" t="s">
        <v>41</v>
      </c>
      <c r="G553" s="5" t="s">
        <v>158</v>
      </c>
      <c r="H553" s="5" t="s">
        <v>159</v>
      </c>
      <c r="I553" s="5" t="s">
        <v>63</v>
      </c>
      <c r="J553" s="5">
        <v>17.067142611613999</v>
      </c>
      <c r="K553" s="5">
        <v>-96.835568439092</v>
      </c>
      <c r="L553" s="5" t="str">
        <f>HYPERLINK("https://maps.google.com/?q=17.067142611614422,-96.8355684390921", "🔗 Ver Mapa")</f>
        <v>🔗 Ver Mapa</v>
      </c>
    </row>
    <row r="554" spans="1:12" ht="101.5" x14ac:dyDescent="0.35">
      <c r="A554" s="6" t="s">
        <v>154</v>
      </c>
      <c r="B554" s="6" t="s">
        <v>155</v>
      </c>
      <c r="C554" s="6" t="s">
        <v>156</v>
      </c>
      <c r="D554" s="6" t="s">
        <v>157</v>
      </c>
      <c r="E554" s="6" t="s">
        <v>37</v>
      </c>
      <c r="F554" s="6" t="s">
        <v>41</v>
      </c>
      <c r="G554" s="6" t="s">
        <v>158</v>
      </c>
      <c r="H554" s="6" t="s">
        <v>159</v>
      </c>
      <c r="I554" s="6" t="s">
        <v>63</v>
      </c>
      <c r="J554" s="6">
        <v>17.070263855080999</v>
      </c>
      <c r="K554" s="6">
        <v>-96.835471310033995</v>
      </c>
      <c r="L554" s="6" t="str">
        <f>HYPERLINK("https://maps.google.com/?q=17.070263855081418,-96.83547131003395", "🔗 Ver Mapa")</f>
        <v>🔗 Ver Mapa</v>
      </c>
    </row>
    <row r="555" spans="1:12" ht="101.5" x14ac:dyDescent="0.35">
      <c r="A555" s="5" t="s">
        <v>154</v>
      </c>
      <c r="B555" s="5" t="s">
        <v>155</v>
      </c>
      <c r="C555" s="5" t="s">
        <v>156</v>
      </c>
      <c r="D555" s="5" t="s">
        <v>157</v>
      </c>
      <c r="E555" s="5" t="s">
        <v>37</v>
      </c>
      <c r="F555" s="5" t="s">
        <v>41</v>
      </c>
      <c r="G555" s="5" t="s">
        <v>158</v>
      </c>
      <c r="H555" s="5" t="s">
        <v>159</v>
      </c>
      <c r="I555" s="5" t="s">
        <v>63</v>
      </c>
      <c r="J555" s="5">
        <v>17.071418493530999</v>
      </c>
      <c r="K555" s="5">
        <v>-96.830744892135002</v>
      </c>
      <c r="L555" s="5" t="str">
        <f>HYPERLINK("https://maps.google.com/?q=17.071418493530846,-96.83074489213462", "🔗 Ver Mapa")</f>
        <v>🔗 Ver Mapa</v>
      </c>
    </row>
    <row r="556" spans="1:12" ht="101.5" x14ac:dyDescent="0.35">
      <c r="A556" s="6" t="s">
        <v>154</v>
      </c>
      <c r="B556" s="6" t="s">
        <v>155</v>
      </c>
      <c r="C556" s="6" t="s">
        <v>156</v>
      </c>
      <c r="D556" s="6" t="s">
        <v>157</v>
      </c>
      <c r="E556" s="6" t="s">
        <v>37</v>
      </c>
      <c r="F556" s="6" t="s">
        <v>41</v>
      </c>
      <c r="G556" s="6" t="s">
        <v>158</v>
      </c>
      <c r="H556" s="6" t="s">
        <v>159</v>
      </c>
      <c r="I556" s="6" t="s">
        <v>63</v>
      </c>
      <c r="J556" s="6">
        <v>17.071736000000001</v>
      </c>
      <c r="K556" s="6">
        <v>-96.826051000000007</v>
      </c>
      <c r="L556" s="6" t="str">
        <f>HYPERLINK("https://maps.google.com/?q=17.071736,-96.826051", "🔗 Ver Mapa")</f>
        <v>🔗 Ver Mapa</v>
      </c>
    </row>
    <row r="557" spans="1:12" ht="101.5" x14ac:dyDescent="0.35">
      <c r="A557" s="5" t="s">
        <v>154</v>
      </c>
      <c r="B557" s="5" t="s">
        <v>155</v>
      </c>
      <c r="C557" s="5" t="s">
        <v>156</v>
      </c>
      <c r="D557" s="5" t="s">
        <v>157</v>
      </c>
      <c r="E557" s="5" t="s">
        <v>37</v>
      </c>
      <c r="F557" s="5" t="s">
        <v>41</v>
      </c>
      <c r="G557" s="5" t="s">
        <v>158</v>
      </c>
      <c r="H557" s="5" t="s">
        <v>159</v>
      </c>
      <c r="I557" s="5" t="s">
        <v>63</v>
      </c>
      <c r="J557" s="5">
        <v>17.078195000000001</v>
      </c>
      <c r="K557" s="5">
        <v>-96.747731000000002</v>
      </c>
      <c r="L557" s="5" t="str">
        <f>HYPERLINK("https://maps.google.com/?q=17.078195,-96.747731", "🔗 Ver Mapa")</f>
        <v>🔗 Ver Mapa</v>
      </c>
    </row>
    <row r="558" spans="1:12" ht="87" x14ac:dyDescent="0.35">
      <c r="A558" s="6" t="s">
        <v>154</v>
      </c>
      <c r="B558" s="6" t="s">
        <v>155</v>
      </c>
      <c r="C558" s="6" t="s">
        <v>161</v>
      </c>
      <c r="D558" s="6" t="s">
        <v>157</v>
      </c>
      <c r="E558" s="6" t="s">
        <v>39</v>
      </c>
      <c r="F558" s="6" t="s">
        <v>162</v>
      </c>
      <c r="G558" s="6" t="s">
        <v>163</v>
      </c>
      <c r="H558" s="6" t="s">
        <v>164</v>
      </c>
      <c r="I558" s="6" t="s">
        <v>63</v>
      </c>
      <c r="J558" s="6">
        <v>16.370238000000001</v>
      </c>
      <c r="K558" s="6">
        <v>-95.026259999999994</v>
      </c>
      <c r="L558" s="6" t="str">
        <f>HYPERLINK("https://maps.google.com/?q=16.370238,-95.026260", "🔗 Ver Mapa")</f>
        <v>🔗 Ver Mapa</v>
      </c>
    </row>
    <row r="559" spans="1:12" ht="87" x14ac:dyDescent="0.35">
      <c r="A559" s="5" t="s">
        <v>154</v>
      </c>
      <c r="B559" s="5" t="s">
        <v>155</v>
      </c>
      <c r="C559" s="5" t="s">
        <v>161</v>
      </c>
      <c r="D559" s="5" t="s">
        <v>157</v>
      </c>
      <c r="E559" s="5" t="s">
        <v>39</v>
      </c>
      <c r="F559" s="5" t="s">
        <v>162</v>
      </c>
      <c r="G559" s="5" t="s">
        <v>163</v>
      </c>
      <c r="H559" s="5" t="s">
        <v>164</v>
      </c>
      <c r="I559" s="5" t="s">
        <v>63</v>
      </c>
      <c r="J559" s="5">
        <v>16.405197000000001</v>
      </c>
      <c r="K559" s="5">
        <v>-95.026437999999999</v>
      </c>
      <c r="L559" s="5" t="str">
        <f>HYPERLINK("https://maps.google.com/?q=16.405197,-95.026438", "🔗 Ver Mapa")</f>
        <v>🔗 Ver Mapa</v>
      </c>
    </row>
    <row r="560" spans="1:12" ht="87" x14ac:dyDescent="0.35">
      <c r="A560" s="6" t="s">
        <v>154</v>
      </c>
      <c r="B560" s="6" t="s">
        <v>155</v>
      </c>
      <c r="C560" s="6" t="s">
        <v>161</v>
      </c>
      <c r="D560" s="6" t="s">
        <v>157</v>
      </c>
      <c r="E560" s="6" t="s">
        <v>39</v>
      </c>
      <c r="F560" s="6" t="s">
        <v>162</v>
      </c>
      <c r="G560" s="6" t="s">
        <v>163</v>
      </c>
      <c r="H560" s="6" t="s">
        <v>164</v>
      </c>
      <c r="I560" s="6" t="s">
        <v>63</v>
      </c>
      <c r="J560" s="6">
        <v>16.435941</v>
      </c>
      <c r="K560" s="6">
        <v>-95.033376000000004</v>
      </c>
      <c r="L560" s="6" t="str">
        <f>HYPERLINK("https://maps.google.com/?q=16.435941,-95.033376", "🔗 Ver Mapa")</f>
        <v>🔗 Ver Mapa</v>
      </c>
    </row>
    <row r="561" spans="1:12" ht="43.5" x14ac:dyDescent="0.35">
      <c r="A561" s="5" t="s">
        <v>8</v>
      </c>
      <c r="B561" s="5" t="s">
        <v>16</v>
      </c>
      <c r="C561" s="5" t="s">
        <v>165</v>
      </c>
      <c r="D561" s="5" t="s">
        <v>35</v>
      </c>
      <c r="E561" s="5" t="s">
        <v>128</v>
      </c>
      <c r="F561" s="5" t="s">
        <v>166</v>
      </c>
      <c r="G561" s="5" t="s">
        <v>167</v>
      </c>
      <c r="H561" s="5" t="s">
        <v>168</v>
      </c>
      <c r="I561" s="5" t="s">
        <v>63</v>
      </c>
      <c r="J561" s="5">
        <v>17.174896565301001</v>
      </c>
      <c r="K561" s="5">
        <v>-98.195617341103997</v>
      </c>
      <c r="L561" s="5" t="str">
        <f>HYPERLINK("https://maps.google.com/?q=17.1748965653007,-98.195617341104494", "🔗 Ver Mapa")</f>
        <v>🔗 Ver Mapa</v>
      </c>
    </row>
    <row r="562" spans="1:12" ht="43.5" x14ac:dyDescent="0.35">
      <c r="A562" s="6" t="s">
        <v>8</v>
      </c>
      <c r="B562" s="6" t="s">
        <v>16</v>
      </c>
      <c r="C562" s="6" t="s">
        <v>165</v>
      </c>
      <c r="D562" s="6" t="s">
        <v>35</v>
      </c>
      <c r="E562" s="6" t="s">
        <v>128</v>
      </c>
      <c r="F562" s="6" t="s">
        <v>166</v>
      </c>
      <c r="G562" s="6" t="s">
        <v>167</v>
      </c>
      <c r="H562" s="6" t="s">
        <v>168</v>
      </c>
      <c r="I562" s="6" t="s">
        <v>63</v>
      </c>
      <c r="J562" s="6">
        <v>17.175036846600001</v>
      </c>
      <c r="K562" s="6">
        <v>-98.195428341105</v>
      </c>
      <c r="L562" s="6" t="str">
        <f>HYPERLINK("https://maps.google.com/?q=17.1750368465996,-98.195428341104503", "🔗 Ver Mapa")</f>
        <v>🔗 Ver Mapa</v>
      </c>
    </row>
    <row r="563" spans="1:12" ht="43.5" x14ac:dyDescent="0.35">
      <c r="A563" s="5" t="s">
        <v>8</v>
      </c>
      <c r="B563" s="5" t="s">
        <v>16</v>
      </c>
      <c r="C563" s="5" t="s">
        <v>165</v>
      </c>
      <c r="D563" s="5" t="s">
        <v>35</v>
      </c>
      <c r="E563" s="5" t="s">
        <v>128</v>
      </c>
      <c r="F563" s="5" t="s">
        <v>166</v>
      </c>
      <c r="G563" s="5" t="s">
        <v>167</v>
      </c>
      <c r="H563" s="5" t="s">
        <v>168</v>
      </c>
      <c r="I563" s="5" t="s">
        <v>63</v>
      </c>
      <c r="J563" s="5">
        <v>17.175130565298002</v>
      </c>
      <c r="K563" s="5">
        <v>-98.195314317791002</v>
      </c>
      <c r="L563" s="5" t="str">
        <f>HYPERLINK("https://maps.google.com/?q=17.1751305652975,-98.195314317791002", "🔗 Ver Mapa")</f>
        <v>🔗 Ver Mapa</v>
      </c>
    </row>
    <row r="564" spans="1:12" ht="43.5" x14ac:dyDescent="0.35">
      <c r="A564" s="6" t="s">
        <v>8</v>
      </c>
      <c r="B564" s="6" t="s">
        <v>16</v>
      </c>
      <c r="C564" s="6" t="s">
        <v>165</v>
      </c>
      <c r="D564" s="6" t="s">
        <v>35</v>
      </c>
      <c r="E564" s="6" t="s">
        <v>128</v>
      </c>
      <c r="F564" s="6" t="s">
        <v>166</v>
      </c>
      <c r="G564" s="6" t="s">
        <v>167</v>
      </c>
      <c r="H564" s="6" t="s">
        <v>168</v>
      </c>
      <c r="I564" s="6" t="s">
        <v>63</v>
      </c>
      <c r="J564" s="6">
        <v>17.175173565297001</v>
      </c>
      <c r="K564" s="6">
        <v>-98.195411000000007</v>
      </c>
      <c r="L564" s="6" t="str">
        <f>HYPERLINK("https://maps.google.com/?q=17.1751735652969,-98.195411000000007", "🔗 Ver Mapa")</f>
        <v>🔗 Ver Mapa</v>
      </c>
    </row>
    <row r="565" spans="1:12" ht="43.5" x14ac:dyDescent="0.35">
      <c r="A565" s="5" t="s">
        <v>8</v>
      </c>
      <c r="B565" s="5" t="s">
        <v>16</v>
      </c>
      <c r="C565" s="5" t="s">
        <v>165</v>
      </c>
      <c r="D565" s="5" t="s">
        <v>35</v>
      </c>
      <c r="E565" s="5" t="s">
        <v>128</v>
      </c>
      <c r="F565" s="5" t="s">
        <v>166</v>
      </c>
      <c r="G565" s="5" t="s">
        <v>167</v>
      </c>
      <c r="H565" s="5" t="s">
        <v>168</v>
      </c>
      <c r="I565" s="5" t="s">
        <v>63</v>
      </c>
      <c r="J565" s="5">
        <v>17.175415158802998</v>
      </c>
      <c r="K565" s="5">
        <v>-98.195734341104</v>
      </c>
      <c r="L565" s="5" t="str">
        <f>HYPERLINK("https://maps.google.com/?q=17.1754151588028,-98.195734341104497", "🔗 Ver Mapa")</f>
        <v>🔗 Ver Mapa</v>
      </c>
    </row>
    <row r="566" spans="1:12" ht="43.5" x14ac:dyDescent="0.35">
      <c r="A566" s="6" t="s">
        <v>8</v>
      </c>
      <c r="B566" s="6" t="s">
        <v>16</v>
      </c>
      <c r="C566" s="6" t="s">
        <v>165</v>
      </c>
      <c r="D566" s="6" t="s">
        <v>35</v>
      </c>
      <c r="E566" s="6" t="s">
        <v>128</v>
      </c>
      <c r="F566" s="6" t="s">
        <v>166</v>
      </c>
      <c r="G566" s="6" t="s">
        <v>167</v>
      </c>
      <c r="H566" s="6" t="s">
        <v>168</v>
      </c>
      <c r="I566" s="6" t="s">
        <v>63</v>
      </c>
      <c r="J566" s="6">
        <v>17.175589283994</v>
      </c>
      <c r="K566" s="6">
        <v>-98.195135658894998</v>
      </c>
      <c r="L566" s="6" t="str">
        <f>HYPERLINK("https://maps.google.com/?q=17.1755892839942,-98.195135658895495", "🔗 Ver Mapa")</f>
        <v>🔗 Ver Mapa</v>
      </c>
    </row>
    <row r="567" spans="1:12" ht="43.5" x14ac:dyDescent="0.35">
      <c r="A567" s="5" t="s">
        <v>8</v>
      </c>
      <c r="B567" s="5" t="s">
        <v>16</v>
      </c>
      <c r="C567" s="5" t="s">
        <v>165</v>
      </c>
      <c r="D567" s="5" t="s">
        <v>35</v>
      </c>
      <c r="E567" s="5" t="s">
        <v>128</v>
      </c>
      <c r="F567" s="5" t="s">
        <v>166</v>
      </c>
      <c r="G567" s="5" t="s">
        <v>167</v>
      </c>
      <c r="H567" s="5" t="s">
        <v>168</v>
      </c>
      <c r="I567" s="5" t="s">
        <v>63</v>
      </c>
      <c r="J567" s="5">
        <v>17.175681668629</v>
      </c>
      <c r="K567" s="5">
        <v>-98.195106704194998</v>
      </c>
      <c r="L567" s="5" t="str">
        <f>HYPERLINK("https://maps.google.com/?q=17.1756816686293,-98.195106704195396", "🔗 Ver Mapa")</f>
        <v>🔗 Ver Mapa</v>
      </c>
    </row>
    <row r="568" spans="1:12" ht="43.5" x14ac:dyDescent="0.35">
      <c r="A568" s="6" t="s">
        <v>8</v>
      </c>
      <c r="B568" s="6" t="s">
        <v>16</v>
      </c>
      <c r="C568" s="6" t="s">
        <v>165</v>
      </c>
      <c r="D568" s="6" t="s">
        <v>35</v>
      </c>
      <c r="E568" s="6" t="s">
        <v>128</v>
      </c>
      <c r="F568" s="6" t="s">
        <v>166</v>
      </c>
      <c r="G568" s="6" t="s">
        <v>167</v>
      </c>
      <c r="H568" s="6" t="s">
        <v>168</v>
      </c>
      <c r="I568" s="6" t="s">
        <v>63</v>
      </c>
      <c r="J568" s="6">
        <v>17.175772971767</v>
      </c>
      <c r="K568" s="6">
        <v>-98.194092341103996</v>
      </c>
      <c r="L568" s="6" t="str">
        <f>HYPERLINK("https://maps.google.com/?q=17.1757729717674,-98.194092341104493", "🔗 Ver Mapa")</f>
        <v>🔗 Ver Mapa</v>
      </c>
    </row>
    <row r="569" spans="1:12" ht="43.5" x14ac:dyDescent="0.35">
      <c r="A569" s="5" t="s">
        <v>8</v>
      </c>
      <c r="B569" s="5" t="s">
        <v>16</v>
      </c>
      <c r="C569" s="5" t="s">
        <v>165</v>
      </c>
      <c r="D569" s="5" t="s">
        <v>35</v>
      </c>
      <c r="E569" s="5" t="s">
        <v>128</v>
      </c>
      <c r="F569" s="5" t="s">
        <v>166</v>
      </c>
      <c r="G569" s="5" t="s">
        <v>167</v>
      </c>
      <c r="H569" s="5" t="s">
        <v>168</v>
      </c>
      <c r="I569" s="5" t="s">
        <v>63</v>
      </c>
      <c r="J569" s="5">
        <v>17.175937749513</v>
      </c>
      <c r="K569" s="5">
        <v>-98.195228215938997</v>
      </c>
      <c r="L569" s="5" t="str">
        <f>HYPERLINK("https://maps.google.com/?q=17.1759377495126,-98.195228215938599", "🔗 Ver Mapa")</f>
        <v>🔗 Ver Mapa</v>
      </c>
    </row>
    <row r="570" spans="1:12" ht="43.5" x14ac:dyDescent="0.35">
      <c r="A570" s="6" t="s">
        <v>8</v>
      </c>
      <c r="B570" s="6" t="s">
        <v>16</v>
      </c>
      <c r="C570" s="6" t="s">
        <v>165</v>
      </c>
      <c r="D570" s="6" t="s">
        <v>35</v>
      </c>
      <c r="E570" s="6" t="s">
        <v>128</v>
      </c>
      <c r="F570" s="6" t="s">
        <v>166</v>
      </c>
      <c r="G570" s="6" t="s">
        <v>167</v>
      </c>
      <c r="H570" s="6" t="s">
        <v>168</v>
      </c>
      <c r="I570" s="6" t="s">
        <v>63</v>
      </c>
      <c r="J570" s="6">
        <v>17.176246252881999</v>
      </c>
      <c r="K570" s="6">
        <v>-98.194216448901003</v>
      </c>
      <c r="L570" s="6" t="str">
        <f>HYPERLINK("https://maps.google.com/?q=17.1762462528815,-98.194216448900804", "🔗 Ver Mapa")</f>
        <v>🔗 Ver Mapa</v>
      </c>
    </row>
    <row r="571" spans="1:12" ht="43.5" x14ac:dyDescent="0.35">
      <c r="A571" s="5" t="s">
        <v>8</v>
      </c>
      <c r="B571" s="5" t="s">
        <v>16</v>
      </c>
      <c r="C571" s="5" t="s">
        <v>165</v>
      </c>
      <c r="D571" s="5" t="s">
        <v>35</v>
      </c>
      <c r="E571" s="5" t="s">
        <v>128</v>
      </c>
      <c r="F571" s="5" t="s">
        <v>166</v>
      </c>
      <c r="G571" s="5" t="s">
        <v>167</v>
      </c>
      <c r="H571" s="5" t="s">
        <v>168</v>
      </c>
      <c r="I571" s="5" t="s">
        <v>63</v>
      </c>
      <c r="J571" s="5">
        <v>17.176527322272999</v>
      </c>
      <c r="K571" s="5">
        <v>-98.195323963126</v>
      </c>
      <c r="L571" s="5" t="str">
        <f>HYPERLINK("https://maps.google.com/?q=17.1765273222728,-98.195323963125603", "🔗 Ver Mapa")</f>
        <v>🔗 Ver Mapa</v>
      </c>
    </row>
    <row r="572" spans="1:12" ht="43.5" x14ac:dyDescent="0.35">
      <c r="A572" s="6" t="s">
        <v>8</v>
      </c>
      <c r="B572" s="6" t="s">
        <v>16</v>
      </c>
      <c r="C572" s="6" t="s">
        <v>165</v>
      </c>
      <c r="D572" s="6" t="s">
        <v>35</v>
      </c>
      <c r="E572" s="6" t="s">
        <v>128</v>
      </c>
      <c r="F572" s="6" t="s">
        <v>166</v>
      </c>
      <c r="G572" s="6" t="s">
        <v>167</v>
      </c>
      <c r="H572" s="6" t="s">
        <v>168</v>
      </c>
      <c r="I572" s="6" t="s">
        <v>63</v>
      </c>
      <c r="J572" s="6">
        <v>17.176602002696999</v>
      </c>
      <c r="K572" s="6">
        <v>-98.194648341103999</v>
      </c>
      <c r="L572" s="6" t="str">
        <f>HYPERLINK("https://maps.google.com/?q=17.1766020026974,-98.194648341104497", "🔗 Ver Mapa")</f>
        <v>🔗 Ver Mapa</v>
      </c>
    </row>
    <row r="573" spans="1:12" ht="43.5" x14ac:dyDescent="0.35">
      <c r="A573" s="5" t="s">
        <v>8</v>
      </c>
      <c r="B573" s="5" t="s">
        <v>16</v>
      </c>
      <c r="C573" s="5" t="s">
        <v>165</v>
      </c>
      <c r="D573" s="5" t="s">
        <v>35</v>
      </c>
      <c r="E573" s="5" t="s">
        <v>128</v>
      </c>
      <c r="F573" s="5" t="s">
        <v>166</v>
      </c>
      <c r="G573" s="5" t="s">
        <v>167</v>
      </c>
      <c r="H573" s="5" t="s">
        <v>168</v>
      </c>
      <c r="I573" s="5" t="s">
        <v>63</v>
      </c>
      <c r="J573" s="5">
        <v>17.176716953166</v>
      </c>
      <c r="K573" s="5">
        <v>-98.194664139707996</v>
      </c>
      <c r="L573" s="5" t="str">
        <f>HYPERLINK("https://maps.google.com/?q=17.1767169531664,-98.194664139707896", "🔗 Ver Mapa")</f>
        <v>🔗 Ver Mapa</v>
      </c>
    </row>
    <row r="574" spans="1:12" ht="43.5" x14ac:dyDescent="0.35">
      <c r="A574" s="6" t="s">
        <v>8</v>
      </c>
      <c r="B574" s="6" t="s">
        <v>16</v>
      </c>
      <c r="C574" s="6" t="s">
        <v>165</v>
      </c>
      <c r="D574" s="6" t="s">
        <v>35</v>
      </c>
      <c r="E574" s="6" t="s">
        <v>128</v>
      </c>
      <c r="F574" s="6" t="s">
        <v>166</v>
      </c>
      <c r="G574" s="6" t="s">
        <v>167</v>
      </c>
      <c r="H574" s="6" t="s">
        <v>168</v>
      </c>
      <c r="I574" s="6" t="s">
        <v>63</v>
      </c>
      <c r="J574" s="6">
        <v>17.176751565275001</v>
      </c>
      <c r="K574" s="6">
        <v>-98.195252682209002</v>
      </c>
      <c r="L574" s="6" t="str">
        <f>HYPERLINK("https://maps.google.com/?q=17.1767515652753,-98.195252682209002", "🔗 Ver Mapa")</f>
        <v>🔗 Ver Mapa</v>
      </c>
    </row>
    <row r="575" spans="1:12" ht="43.5" x14ac:dyDescent="0.35">
      <c r="A575" s="5" t="s">
        <v>8</v>
      </c>
      <c r="B575" s="5" t="s">
        <v>16</v>
      </c>
      <c r="C575" s="5" t="s">
        <v>165</v>
      </c>
      <c r="D575" s="5" t="s">
        <v>35</v>
      </c>
      <c r="E575" s="5" t="s">
        <v>128</v>
      </c>
      <c r="F575" s="5" t="s">
        <v>166</v>
      </c>
      <c r="G575" s="5" t="s">
        <v>167</v>
      </c>
      <c r="H575" s="5" t="s">
        <v>168</v>
      </c>
      <c r="I575" s="5" t="s">
        <v>63</v>
      </c>
      <c r="J575" s="5">
        <v>17.177149721410998</v>
      </c>
      <c r="K575" s="5">
        <v>-98.194391341105003</v>
      </c>
      <c r="L575" s="5" t="str">
        <f>HYPERLINK("https://maps.google.com/?q=17.1771497214114,-98.194391341104506", "🔗 Ver Mapa")</f>
        <v>🔗 Ver Mapa</v>
      </c>
    </row>
    <row r="576" spans="1:12" ht="43.5" x14ac:dyDescent="0.35">
      <c r="A576" s="6" t="s">
        <v>8</v>
      </c>
      <c r="B576" s="6" t="s">
        <v>16</v>
      </c>
      <c r="C576" s="6" t="s">
        <v>165</v>
      </c>
      <c r="D576" s="6" t="s">
        <v>35</v>
      </c>
      <c r="E576" s="6" t="s">
        <v>128</v>
      </c>
      <c r="F576" s="6" t="s">
        <v>166</v>
      </c>
      <c r="G576" s="6" t="s">
        <v>167</v>
      </c>
      <c r="H576" s="6" t="s">
        <v>168</v>
      </c>
      <c r="I576" s="6" t="s">
        <v>63</v>
      </c>
      <c r="J576" s="6">
        <v>17.177269627838999</v>
      </c>
      <c r="K576" s="6">
        <v>-98.194877599999998</v>
      </c>
      <c r="L576" s="6" t="str">
        <f>HYPERLINK("https://maps.google.com/?q=17.177269627839,-98.194877599999998", "🔗 Ver Mapa")</f>
        <v>🔗 Ver Mapa</v>
      </c>
    </row>
    <row r="577" spans="1:12" ht="43.5" x14ac:dyDescent="0.35">
      <c r="A577" s="5" t="s">
        <v>8</v>
      </c>
      <c r="B577" s="5" t="s">
        <v>16</v>
      </c>
      <c r="C577" s="5" t="s">
        <v>165</v>
      </c>
      <c r="D577" s="5" t="s">
        <v>35</v>
      </c>
      <c r="E577" s="5" t="s">
        <v>128</v>
      </c>
      <c r="F577" s="5" t="s">
        <v>166</v>
      </c>
      <c r="G577" s="5" t="s">
        <v>167</v>
      </c>
      <c r="H577" s="5" t="s">
        <v>168</v>
      </c>
      <c r="I577" s="5" t="s">
        <v>63</v>
      </c>
      <c r="J577" s="5">
        <v>17.177454658302</v>
      </c>
      <c r="K577" s="5">
        <v>-98.195232186507994</v>
      </c>
      <c r="L577" s="5" t="str">
        <f>HYPERLINK("https://maps.google.com/?q=17.1774546583019,-98.195232186508207", "🔗 Ver Mapa")</f>
        <v>🔗 Ver Mapa</v>
      </c>
    </row>
    <row r="578" spans="1:12" ht="43.5" x14ac:dyDescent="0.35">
      <c r="A578" s="6" t="s">
        <v>8</v>
      </c>
      <c r="B578" s="6" t="s">
        <v>16</v>
      </c>
      <c r="C578" s="6" t="s">
        <v>165</v>
      </c>
      <c r="D578" s="6" t="s">
        <v>35</v>
      </c>
      <c r="E578" s="6" t="s">
        <v>128</v>
      </c>
      <c r="F578" s="6" t="s">
        <v>166</v>
      </c>
      <c r="G578" s="6" t="s">
        <v>167</v>
      </c>
      <c r="H578" s="6" t="s">
        <v>168</v>
      </c>
      <c r="I578" s="6" t="s">
        <v>63</v>
      </c>
      <c r="J578" s="6">
        <v>17.178266283976001</v>
      </c>
      <c r="K578" s="6">
        <v>-98.195561999999995</v>
      </c>
      <c r="L578" s="6" t="str">
        <f>HYPERLINK("https://maps.google.com/?q=17.1782662839762,-98.195561999999995", "🔗 Ver Mapa")</f>
        <v>🔗 Ver Mapa</v>
      </c>
    </row>
    <row r="579" spans="1:12" ht="43.5" x14ac:dyDescent="0.35">
      <c r="A579" s="5" t="s">
        <v>8</v>
      </c>
      <c r="B579" s="5" t="s">
        <v>16</v>
      </c>
      <c r="C579" s="5" t="s">
        <v>165</v>
      </c>
      <c r="D579" s="5" t="s">
        <v>35</v>
      </c>
      <c r="E579" s="5" t="s">
        <v>128</v>
      </c>
      <c r="F579" s="5" t="s">
        <v>166</v>
      </c>
      <c r="G579" s="5" t="s">
        <v>167</v>
      </c>
      <c r="H579" s="5" t="s">
        <v>168</v>
      </c>
      <c r="I579" s="5" t="s">
        <v>63</v>
      </c>
      <c r="J579" s="5">
        <v>17.179807565234</v>
      </c>
      <c r="K579" s="5">
        <v>-98.197016658896004</v>
      </c>
      <c r="L579" s="5" t="str">
        <f>HYPERLINK("https://maps.google.com/?q=17.1798075652336,-98.197016658895507", "🔗 Ver Mapa")</f>
        <v>🔗 Ver Mapa</v>
      </c>
    </row>
    <row r="580" spans="1:12" ht="43.5" x14ac:dyDescent="0.35">
      <c r="A580" s="6" t="s">
        <v>8</v>
      </c>
      <c r="B580" s="6" t="s">
        <v>16</v>
      </c>
      <c r="C580" s="6" t="s">
        <v>165</v>
      </c>
      <c r="D580" s="6" t="s">
        <v>35</v>
      </c>
      <c r="E580" s="6" t="s">
        <v>128</v>
      </c>
      <c r="F580" s="6" t="s">
        <v>166</v>
      </c>
      <c r="G580" s="6" t="s">
        <v>167</v>
      </c>
      <c r="H580" s="6" t="s">
        <v>168</v>
      </c>
      <c r="I580" s="6" t="s">
        <v>63</v>
      </c>
      <c r="J580" s="6">
        <v>17.180071770996999</v>
      </c>
      <c r="K580" s="6">
        <v>-98.197234516359998</v>
      </c>
      <c r="L580" s="6" t="str">
        <f>HYPERLINK("https://maps.google.com/?q=17.1800717709968,-98.1972345163597", "🔗 Ver Mapa")</f>
        <v>🔗 Ver Mapa</v>
      </c>
    </row>
    <row r="581" spans="1:12" ht="43.5" x14ac:dyDescent="0.35">
      <c r="A581" s="5" t="s">
        <v>8</v>
      </c>
      <c r="B581" s="5" t="s">
        <v>16</v>
      </c>
      <c r="C581" s="5" t="s">
        <v>165</v>
      </c>
      <c r="D581" s="5" t="s">
        <v>35</v>
      </c>
      <c r="E581" s="5" t="s">
        <v>128</v>
      </c>
      <c r="F581" s="5" t="s">
        <v>166</v>
      </c>
      <c r="G581" s="5" t="s">
        <v>167</v>
      </c>
      <c r="H581" s="5" t="s">
        <v>168</v>
      </c>
      <c r="I581" s="5" t="s">
        <v>63</v>
      </c>
      <c r="J581" s="5">
        <v>17.180754440175999</v>
      </c>
      <c r="K581" s="5">
        <v>-98.197827000000004</v>
      </c>
      <c r="L581" s="5" t="str">
        <f>HYPERLINK("https://maps.google.com/?q=17.1807544401756,-98.197827000000004", "🔗 Ver Mapa")</f>
        <v>🔗 Ver Mapa</v>
      </c>
    </row>
    <row r="582" spans="1:12" ht="43.5" x14ac:dyDescent="0.35">
      <c r="A582" s="6" t="s">
        <v>8</v>
      </c>
      <c r="B582" s="6" t="s">
        <v>16</v>
      </c>
      <c r="C582" s="6" t="s">
        <v>165</v>
      </c>
      <c r="D582" s="6" t="s">
        <v>35</v>
      </c>
      <c r="E582" s="6" t="s">
        <v>128</v>
      </c>
      <c r="F582" s="6" t="s">
        <v>166</v>
      </c>
      <c r="G582" s="6" t="s">
        <v>167</v>
      </c>
      <c r="H582" s="6" t="s">
        <v>168</v>
      </c>
      <c r="I582" s="6" t="s">
        <v>63</v>
      </c>
      <c r="J582" s="6">
        <v>17.181128662726</v>
      </c>
      <c r="K582" s="6">
        <v>-98.197554053907993</v>
      </c>
      <c r="L582" s="6" t="str">
        <f>HYPERLINK("https://maps.google.com/?q=17.1811286627262,-98.197554053907893", "🔗 Ver Mapa")</f>
        <v>🔗 Ver Mapa</v>
      </c>
    </row>
    <row r="583" spans="1:12" ht="43.5" x14ac:dyDescent="0.35">
      <c r="A583" s="5" t="s">
        <v>8</v>
      </c>
      <c r="B583" s="5" t="s">
        <v>16</v>
      </c>
      <c r="C583" s="5" t="s">
        <v>165</v>
      </c>
      <c r="D583" s="5" t="s">
        <v>35</v>
      </c>
      <c r="E583" s="5" t="s">
        <v>128</v>
      </c>
      <c r="F583" s="5" t="s">
        <v>166</v>
      </c>
      <c r="G583" s="5" t="s">
        <v>167</v>
      </c>
      <c r="H583" s="5" t="s">
        <v>168</v>
      </c>
      <c r="I583" s="5" t="s">
        <v>63</v>
      </c>
      <c r="J583" s="5">
        <v>17.181209070533999</v>
      </c>
      <c r="K583" s="5">
        <v>-98.197688965029997</v>
      </c>
      <c r="L583" s="5" t="str">
        <f>HYPERLINK("https://maps.google.com/?q=17.1812090705339,-98.197688965029698", "🔗 Ver Mapa")</f>
        <v>🔗 Ver Mapa</v>
      </c>
    </row>
    <row r="584" spans="1:12" ht="43.5" x14ac:dyDescent="0.35">
      <c r="A584" s="6" t="s">
        <v>8</v>
      </c>
      <c r="B584" s="6" t="s">
        <v>16</v>
      </c>
      <c r="C584" s="6" t="s">
        <v>165</v>
      </c>
      <c r="D584" s="6" t="s">
        <v>35</v>
      </c>
      <c r="E584" s="6" t="s">
        <v>128</v>
      </c>
      <c r="F584" s="6" t="s">
        <v>166</v>
      </c>
      <c r="G584" s="6" t="s">
        <v>167</v>
      </c>
      <c r="H584" s="6" t="s">
        <v>168</v>
      </c>
      <c r="I584" s="6" t="s">
        <v>63</v>
      </c>
      <c r="J584" s="6">
        <v>17.181463846467</v>
      </c>
      <c r="K584" s="6">
        <v>-98.197490000000002</v>
      </c>
      <c r="L584" s="6" t="str">
        <f>HYPERLINK("https://maps.google.com/?q=17.1814638464673,-98.197490000000002", "🔗 Ver Mapa")</f>
        <v>🔗 Ver Mapa</v>
      </c>
    </row>
    <row r="585" spans="1:12" ht="43.5" x14ac:dyDescent="0.35">
      <c r="A585" s="5" t="s">
        <v>8</v>
      </c>
      <c r="B585" s="5" t="s">
        <v>16</v>
      </c>
      <c r="C585" s="5" t="s">
        <v>165</v>
      </c>
      <c r="D585" s="5" t="s">
        <v>35</v>
      </c>
      <c r="E585" s="5" t="s">
        <v>128</v>
      </c>
      <c r="F585" s="5" t="s">
        <v>166</v>
      </c>
      <c r="G585" s="5" t="s">
        <v>167</v>
      </c>
      <c r="H585" s="5" t="s">
        <v>168</v>
      </c>
      <c r="I585" s="5" t="s">
        <v>63</v>
      </c>
      <c r="J585" s="5">
        <v>17.181650283953001</v>
      </c>
      <c r="K585" s="5">
        <v>-98.198527341103997</v>
      </c>
      <c r="L585" s="5" t="str">
        <f>HYPERLINK("https://maps.google.com/?q=17.1816502839533,-98.198527341104494", "🔗 Ver Mapa")</f>
        <v>🔗 Ver Mapa</v>
      </c>
    </row>
    <row r="586" spans="1:12" ht="43.5" x14ac:dyDescent="0.35">
      <c r="A586" s="6" t="s">
        <v>8</v>
      </c>
      <c r="B586" s="6" t="s">
        <v>16</v>
      </c>
      <c r="C586" s="6" t="s">
        <v>165</v>
      </c>
      <c r="D586" s="6" t="s">
        <v>35</v>
      </c>
      <c r="E586" s="6" t="s">
        <v>128</v>
      </c>
      <c r="F586" s="6" t="s">
        <v>166</v>
      </c>
      <c r="G586" s="6" t="s">
        <v>167</v>
      </c>
      <c r="H586" s="6" t="s">
        <v>168</v>
      </c>
      <c r="I586" s="6" t="s">
        <v>63</v>
      </c>
      <c r="J586" s="6">
        <v>17.181732846462001</v>
      </c>
      <c r="K586" s="6">
        <v>-98.197413658895002</v>
      </c>
      <c r="L586" s="6" t="str">
        <f>HYPERLINK("https://maps.google.com/?q=17.1817328464618,-98.197413658895499", "🔗 Ver Mapa")</f>
        <v>🔗 Ver Mapa</v>
      </c>
    </row>
    <row r="587" spans="1:12" ht="43.5" x14ac:dyDescent="0.35">
      <c r="A587" s="5" t="s">
        <v>8</v>
      </c>
      <c r="B587" s="5" t="s">
        <v>16</v>
      </c>
      <c r="C587" s="5" t="s">
        <v>165</v>
      </c>
      <c r="D587" s="5" t="s">
        <v>35</v>
      </c>
      <c r="E587" s="5" t="s">
        <v>128</v>
      </c>
      <c r="F587" s="5" t="s">
        <v>166</v>
      </c>
      <c r="G587" s="5" t="s">
        <v>167</v>
      </c>
      <c r="H587" s="5" t="s">
        <v>168</v>
      </c>
      <c r="I587" s="5" t="s">
        <v>63</v>
      </c>
      <c r="J587" s="5">
        <v>17.181886408966001</v>
      </c>
      <c r="K587" s="5">
        <v>-98.197429976685996</v>
      </c>
      <c r="L587" s="5" t="str">
        <f>HYPERLINK("https://maps.google.com/?q=17.1818864089656,-98.197429976686493", "🔗 Ver Mapa")</f>
        <v>🔗 Ver Mapa</v>
      </c>
    </row>
    <row r="588" spans="1:12" ht="43.5" x14ac:dyDescent="0.35">
      <c r="A588" s="6" t="s">
        <v>8</v>
      </c>
      <c r="B588" s="6" t="s">
        <v>16</v>
      </c>
      <c r="C588" s="6" t="s">
        <v>169</v>
      </c>
      <c r="D588" s="6" t="s">
        <v>35</v>
      </c>
      <c r="E588" s="6" t="s">
        <v>128</v>
      </c>
      <c r="F588" s="6" t="s">
        <v>166</v>
      </c>
      <c r="G588" s="6" t="s">
        <v>167</v>
      </c>
      <c r="H588" s="6" t="s">
        <v>170</v>
      </c>
      <c r="I588" s="6" t="s">
        <v>63</v>
      </c>
      <c r="J588" s="6">
        <v>17.266986125367001</v>
      </c>
      <c r="K588" s="6">
        <v>-98.268140000000002</v>
      </c>
      <c r="L588" s="6" t="str">
        <f>HYPERLINK("https://maps.google.com/?q=17.266986125367,-98.268140000000002", "🔗 Ver Mapa")</f>
        <v>🔗 Ver Mapa</v>
      </c>
    </row>
    <row r="589" spans="1:12" ht="43.5" x14ac:dyDescent="0.35">
      <c r="A589" s="5" t="s">
        <v>8</v>
      </c>
      <c r="B589" s="5" t="s">
        <v>16</v>
      </c>
      <c r="C589" s="5" t="s">
        <v>169</v>
      </c>
      <c r="D589" s="5" t="s">
        <v>35</v>
      </c>
      <c r="E589" s="5" t="s">
        <v>128</v>
      </c>
      <c r="F589" s="5" t="s">
        <v>166</v>
      </c>
      <c r="G589" s="5" t="s">
        <v>167</v>
      </c>
      <c r="H589" s="5" t="s">
        <v>170</v>
      </c>
      <c r="I589" s="5" t="s">
        <v>63</v>
      </c>
      <c r="J589" s="5">
        <v>17.268778564015001</v>
      </c>
      <c r="K589" s="5">
        <v>-98.270382635581996</v>
      </c>
      <c r="L589" s="5" t="str">
        <f>HYPERLINK("https://maps.google.com/?q=17.2687785640151,-98.270382635581996", "🔗 Ver Mapa")</f>
        <v>🔗 Ver Mapa</v>
      </c>
    </row>
    <row r="590" spans="1:12" ht="43.5" x14ac:dyDescent="0.35">
      <c r="A590" s="6" t="s">
        <v>8</v>
      </c>
      <c r="B590" s="6" t="s">
        <v>16</v>
      </c>
      <c r="C590" s="6" t="s">
        <v>169</v>
      </c>
      <c r="D590" s="6" t="s">
        <v>35</v>
      </c>
      <c r="E590" s="6" t="s">
        <v>128</v>
      </c>
      <c r="F590" s="6" t="s">
        <v>166</v>
      </c>
      <c r="G590" s="6" t="s">
        <v>167</v>
      </c>
      <c r="H590" s="6" t="s">
        <v>170</v>
      </c>
      <c r="I590" s="6" t="s">
        <v>63</v>
      </c>
      <c r="J590" s="6">
        <v>17.270937283348999</v>
      </c>
      <c r="K590" s="6">
        <v>-98.277494658896003</v>
      </c>
      <c r="L590" s="6" t="str">
        <f>HYPERLINK("https://maps.google.com/?q=17.2709372833493,-98.277494658895506", "🔗 Ver Mapa")</f>
        <v>🔗 Ver Mapa</v>
      </c>
    </row>
    <row r="591" spans="1:12" ht="43.5" x14ac:dyDescent="0.35">
      <c r="A591" s="5" t="s">
        <v>8</v>
      </c>
      <c r="B591" s="5" t="s">
        <v>16</v>
      </c>
      <c r="C591" s="5" t="s">
        <v>169</v>
      </c>
      <c r="D591" s="5" t="s">
        <v>35</v>
      </c>
      <c r="E591" s="5" t="s">
        <v>128</v>
      </c>
      <c r="F591" s="5" t="s">
        <v>166</v>
      </c>
      <c r="G591" s="5" t="s">
        <v>167</v>
      </c>
      <c r="H591" s="5" t="s">
        <v>170</v>
      </c>
      <c r="I591" s="5" t="s">
        <v>63</v>
      </c>
      <c r="J591" s="5">
        <v>17.271058650314</v>
      </c>
      <c r="K591" s="5">
        <v>-98.277438794334003</v>
      </c>
      <c r="L591" s="5" t="str">
        <f>HYPERLINK("https://maps.google.com/?q=17.2710586503138,-98.277438794333506", "🔗 Ver Mapa")</f>
        <v>🔗 Ver Mapa</v>
      </c>
    </row>
    <row r="592" spans="1:12" ht="43.5" x14ac:dyDescent="0.35">
      <c r="A592" s="6" t="s">
        <v>8</v>
      </c>
      <c r="B592" s="6" t="s">
        <v>16</v>
      </c>
      <c r="C592" s="6" t="s">
        <v>169</v>
      </c>
      <c r="D592" s="6" t="s">
        <v>35</v>
      </c>
      <c r="E592" s="6" t="s">
        <v>128</v>
      </c>
      <c r="F592" s="6" t="s">
        <v>166</v>
      </c>
      <c r="G592" s="6" t="s">
        <v>167</v>
      </c>
      <c r="H592" s="6" t="s">
        <v>170</v>
      </c>
      <c r="I592" s="6" t="s">
        <v>63</v>
      </c>
      <c r="J592" s="6">
        <v>17.271124002713002</v>
      </c>
      <c r="K592" s="6">
        <v>-98.276711658894996</v>
      </c>
      <c r="L592" s="6" t="str">
        <f>HYPERLINK("https://maps.google.com/?q=17.2711240027132,-98.276711658895493", "🔗 Ver Mapa")</f>
        <v>🔗 Ver Mapa</v>
      </c>
    </row>
    <row r="593" spans="1:12" ht="43.5" x14ac:dyDescent="0.35">
      <c r="A593" s="5" t="s">
        <v>8</v>
      </c>
      <c r="B593" s="5" t="s">
        <v>16</v>
      </c>
      <c r="C593" s="5" t="s">
        <v>169</v>
      </c>
      <c r="D593" s="5" t="s">
        <v>35</v>
      </c>
      <c r="E593" s="5" t="s">
        <v>128</v>
      </c>
      <c r="F593" s="5" t="s">
        <v>166</v>
      </c>
      <c r="G593" s="5" t="s">
        <v>167</v>
      </c>
      <c r="H593" s="5" t="s">
        <v>170</v>
      </c>
      <c r="I593" s="5" t="s">
        <v>63</v>
      </c>
      <c r="J593" s="5">
        <v>17.271163507488001</v>
      </c>
      <c r="K593" s="5">
        <v>-98.277095378959999</v>
      </c>
      <c r="L593" s="5" t="str">
        <f>HYPERLINK("https://maps.google.com/?q=17.2711635074883,-98.277095378959999", "🔗 Ver Mapa")</f>
        <v>🔗 Ver Mapa</v>
      </c>
    </row>
    <row r="594" spans="1:12" ht="43.5" x14ac:dyDescent="0.35">
      <c r="A594" s="6" t="s">
        <v>8</v>
      </c>
      <c r="B594" s="6" t="s">
        <v>16</v>
      </c>
      <c r="C594" s="6" t="s">
        <v>169</v>
      </c>
      <c r="D594" s="6" t="s">
        <v>35</v>
      </c>
      <c r="E594" s="6" t="s">
        <v>128</v>
      </c>
      <c r="F594" s="6" t="s">
        <v>166</v>
      </c>
      <c r="G594" s="6" t="s">
        <v>167</v>
      </c>
      <c r="H594" s="6" t="s">
        <v>170</v>
      </c>
      <c r="I594" s="6" t="s">
        <v>63</v>
      </c>
      <c r="J594" s="6">
        <v>17.271283002713002</v>
      </c>
      <c r="K594" s="6">
        <v>-98.276654341105001</v>
      </c>
      <c r="L594" s="6" t="str">
        <f>HYPERLINK("https://maps.google.com/?q=17.2712830027132,-98.276654341104503", "🔗 Ver Mapa")</f>
        <v>🔗 Ver Mapa</v>
      </c>
    </row>
    <row r="595" spans="1:12" ht="43.5" x14ac:dyDescent="0.35">
      <c r="A595" s="5" t="s">
        <v>8</v>
      </c>
      <c r="B595" s="5" t="s">
        <v>16</v>
      </c>
      <c r="C595" s="5" t="s">
        <v>169</v>
      </c>
      <c r="D595" s="5" t="s">
        <v>35</v>
      </c>
      <c r="E595" s="5" t="s">
        <v>128</v>
      </c>
      <c r="F595" s="5" t="s">
        <v>166</v>
      </c>
      <c r="G595" s="5" t="s">
        <v>167</v>
      </c>
      <c r="H595" s="5" t="s">
        <v>170</v>
      </c>
      <c r="I595" s="5" t="s">
        <v>63</v>
      </c>
      <c r="J595" s="5">
        <v>17.271318686514</v>
      </c>
      <c r="K595" s="5">
        <v>-98.272198682208995</v>
      </c>
      <c r="L595" s="5" t="str">
        <f>HYPERLINK("https://maps.google.com/?q=17.2713186865143,-98.272198682208995", "🔗 Ver Mapa")</f>
        <v>🔗 Ver Mapa</v>
      </c>
    </row>
    <row r="596" spans="1:12" ht="43.5" x14ac:dyDescent="0.35">
      <c r="A596" s="6" t="s">
        <v>8</v>
      </c>
      <c r="B596" s="6" t="s">
        <v>16</v>
      </c>
      <c r="C596" s="6" t="s">
        <v>169</v>
      </c>
      <c r="D596" s="6" t="s">
        <v>35</v>
      </c>
      <c r="E596" s="6" t="s">
        <v>128</v>
      </c>
      <c r="F596" s="6" t="s">
        <v>166</v>
      </c>
      <c r="G596" s="6" t="s">
        <v>167</v>
      </c>
      <c r="H596" s="6" t="s">
        <v>170</v>
      </c>
      <c r="I596" s="6" t="s">
        <v>63</v>
      </c>
      <c r="J596" s="6">
        <v>17.271327650949001</v>
      </c>
      <c r="K596" s="6">
        <v>-98.276543860811998</v>
      </c>
      <c r="L596" s="6" t="str">
        <f>HYPERLINK("https://maps.google.com/?q=17.2713276509486,-98.276543860811799", "🔗 Ver Mapa")</f>
        <v>🔗 Ver Mapa</v>
      </c>
    </row>
    <row r="597" spans="1:12" ht="43.5" x14ac:dyDescent="0.35">
      <c r="A597" s="5" t="s">
        <v>8</v>
      </c>
      <c r="B597" s="5" t="s">
        <v>16</v>
      </c>
      <c r="C597" s="5" t="s">
        <v>169</v>
      </c>
      <c r="D597" s="5" t="s">
        <v>35</v>
      </c>
      <c r="E597" s="5" t="s">
        <v>128</v>
      </c>
      <c r="F597" s="5" t="s">
        <v>166</v>
      </c>
      <c r="G597" s="5" t="s">
        <v>167</v>
      </c>
      <c r="H597" s="5" t="s">
        <v>170</v>
      </c>
      <c r="I597" s="5" t="s">
        <v>63</v>
      </c>
      <c r="J597" s="5">
        <v>17.27145801072</v>
      </c>
      <c r="K597" s="5">
        <v>-98.276565874834006</v>
      </c>
      <c r="L597" s="5" t="str">
        <f>HYPERLINK("https://maps.google.com/?q=17.2714580107196,-98.276565874834105", "🔗 Ver Mapa")</f>
        <v>🔗 Ver Mapa</v>
      </c>
    </row>
    <row r="598" spans="1:12" ht="43.5" x14ac:dyDescent="0.35">
      <c r="A598" s="6" t="s">
        <v>8</v>
      </c>
      <c r="B598" s="6" t="s">
        <v>16</v>
      </c>
      <c r="C598" s="6" t="s">
        <v>169</v>
      </c>
      <c r="D598" s="6" t="s">
        <v>35</v>
      </c>
      <c r="E598" s="6" t="s">
        <v>128</v>
      </c>
      <c r="F598" s="6" t="s">
        <v>166</v>
      </c>
      <c r="G598" s="6" t="s">
        <v>167</v>
      </c>
      <c r="H598" s="6" t="s">
        <v>170</v>
      </c>
      <c r="I598" s="6" t="s">
        <v>63</v>
      </c>
      <c r="J598" s="6">
        <v>17.271499283345999</v>
      </c>
      <c r="K598" s="6">
        <v>-98.278346317791005</v>
      </c>
      <c r="L598" s="6" t="str">
        <f>HYPERLINK("https://maps.google.com/?q=17.2714992833456,-98.278346317791403", "🔗 Ver Mapa")</f>
        <v>🔗 Ver Mapa</v>
      </c>
    </row>
    <row r="599" spans="1:12" ht="43.5" x14ac:dyDescent="0.35">
      <c r="A599" s="5" t="s">
        <v>8</v>
      </c>
      <c r="B599" s="5" t="s">
        <v>16</v>
      </c>
      <c r="C599" s="5" t="s">
        <v>169</v>
      </c>
      <c r="D599" s="5" t="s">
        <v>35</v>
      </c>
      <c r="E599" s="5" t="s">
        <v>128</v>
      </c>
      <c r="F599" s="5" t="s">
        <v>166</v>
      </c>
      <c r="G599" s="5" t="s">
        <v>167</v>
      </c>
      <c r="H599" s="5" t="s">
        <v>170</v>
      </c>
      <c r="I599" s="5" t="s">
        <v>63</v>
      </c>
      <c r="J599" s="5">
        <v>17.271532329875001</v>
      </c>
      <c r="K599" s="5">
        <v>-98.277824939812007</v>
      </c>
      <c r="L599" s="5" t="str">
        <f>HYPERLINK("https://maps.google.com/?q=17.2715323298746,-98.277824939811794", "🔗 Ver Mapa")</f>
        <v>🔗 Ver Mapa</v>
      </c>
    </row>
    <row r="600" spans="1:12" ht="43.5" x14ac:dyDescent="0.35">
      <c r="A600" s="6" t="s">
        <v>8</v>
      </c>
      <c r="B600" s="6" t="s">
        <v>16</v>
      </c>
      <c r="C600" s="6" t="s">
        <v>169</v>
      </c>
      <c r="D600" s="6" t="s">
        <v>35</v>
      </c>
      <c r="E600" s="6" t="s">
        <v>128</v>
      </c>
      <c r="F600" s="6" t="s">
        <v>166</v>
      </c>
      <c r="G600" s="6" t="s">
        <v>167</v>
      </c>
      <c r="H600" s="6" t="s">
        <v>170</v>
      </c>
      <c r="I600" s="6" t="s">
        <v>63</v>
      </c>
      <c r="J600" s="6">
        <v>17.271558563976999</v>
      </c>
      <c r="K600" s="6">
        <v>-98.265559341105003</v>
      </c>
      <c r="L600" s="6" t="str">
        <f>HYPERLINK("https://maps.google.com/?q=17.2715585639769,-98.265559341104506", "🔗 Ver Mapa")</f>
        <v>🔗 Ver Mapa</v>
      </c>
    </row>
    <row r="601" spans="1:12" ht="43.5" x14ac:dyDescent="0.35">
      <c r="A601" s="5" t="s">
        <v>8</v>
      </c>
      <c r="B601" s="5" t="s">
        <v>16</v>
      </c>
      <c r="C601" s="5" t="s">
        <v>169</v>
      </c>
      <c r="D601" s="5" t="s">
        <v>35</v>
      </c>
      <c r="E601" s="5" t="s">
        <v>128</v>
      </c>
      <c r="F601" s="5" t="s">
        <v>166</v>
      </c>
      <c r="G601" s="5" t="s">
        <v>167</v>
      </c>
      <c r="H601" s="5" t="s">
        <v>170</v>
      </c>
      <c r="I601" s="5" t="s">
        <v>63</v>
      </c>
      <c r="J601" s="5">
        <v>17.271698002712998</v>
      </c>
      <c r="K601" s="5">
        <v>-98.277124999999998</v>
      </c>
      <c r="L601" s="5" t="str">
        <f>HYPERLINK("https://maps.google.com/?q=17.2716980027133,-98.277124999999998", "🔗 Ver Mapa")</f>
        <v>🔗 Ver Mapa</v>
      </c>
    </row>
    <row r="602" spans="1:12" ht="43.5" x14ac:dyDescent="0.35">
      <c r="A602" s="6" t="s">
        <v>8</v>
      </c>
      <c r="B602" s="6" t="s">
        <v>16</v>
      </c>
      <c r="C602" s="6" t="s">
        <v>169</v>
      </c>
      <c r="D602" s="6" t="s">
        <v>35</v>
      </c>
      <c r="E602" s="6" t="s">
        <v>128</v>
      </c>
      <c r="F602" s="6" t="s">
        <v>166</v>
      </c>
      <c r="G602" s="6" t="s">
        <v>167</v>
      </c>
      <c r="H602" s="6" t="s">
        <v>170</v>
      </c>
      <c r="I602" s="6" t="s">
        <v>63</v>
      </c>
      <c r="J602" s="6">
        <v>17.271699964168</v>
      </c>
      <c r="K602" s="6">
        <v>-98.272642047434999</v>
      </c>
      <c r="L602" s="6" t="str">
        <f>HYPERLINK("https://maps.google.com/?q=17.2716999641683,-98.272642047435099", "🔗 Ver Mapa")</f>
        <v>🔗 Ver Mapa</v>
      </c>
    </row>
    <row r="603" spans="1:12" ht="43.5" x14ac:dyDescent="0.35">
      <c r="A603" s="5" t="s">
        <v>8</v>
      </c>
      <c r="B603" s="5" t="s">
        <v>16</v>
      </c>
      <c r="C603" s="5" t="s">
        <v>169</v>
      </c>
      <c r="D603" s="5" t="s">
        <v>35</v>
      </c>
      <c r="E603" s="5" t="s">
        <v>128</v>
      </c>
      <c r="F603" s="5" t="s">
        <v>166</v>
      </c>
      <c r="G603" s="5" t="s">
        <v>167</v>
      </c>
      <c r="H603" s="5" t="s">
        <v>170</v>
      </c>
      <c r="I603" s="5" t="s">
        <v>63</v>
      </c>
      <c r="J603" s="5">
        <v>17.271926563971999</v>
      </c>
      <c r="K603" s="5">
        <v>-98.275115999999997</v>
      </c>
      <c r="L603" s="5" t="str">
        <f>HYPERLINK("https://maps.google.com/?q=17.2719265639719,-98.275115999999997", "🔗 Ver Mapa")</f>
        <v>🔗 Ver Mapa</v>
      </c>
    </row>
    <row r="604" spans="1:12" ht="43.5" x14ac:dyDescent="0.35">
      <c r="A604" s="6" t="s">
        <v>8</v>
      </c>
      <c r="B604" s="6" t="s">
        <v>16</v>
      </c>
      <c r="C604" s="6" t="s">
        <v>169</v>
      </c>
      <c r="D604" s="6" t="s">
        <v>35</v>
      </c>
      <c r="E604" s="6" t="s">
        <v>128</v>
      </c>
      <c r="F604" s="6" t="s">
        <v>166</v>
      </c>
      <c r="G604" s="6" t="s">
        <v>167</v>
      </c>
      <c r="H604" s="6" t="s">
        <v>170</v>
      </c>
      <c r="I604" s="6" t="s">
        <v>63</v>
      </c>
      <c r="J604" s="6">
        <v>17.272846125205</v>
      </c>
      <c r="K604" s="6">
        <v>-98.275279999999995</v>
      </c>
      <c r="L604" s="6" t="str">
        <f>HYPERLINK("https://maps.google.com/?q=17.2728461252051,-98.275279999999995", "🔗 Ver Mapa")</f>
        <v>🔗 Ver Mapa</v>
      </c>
    </row>
    <row r="605" spans="1:12" ht="43.5" x14ac:dyDescent="0.35">
      <c r="A605" s="5" t="s">
        <v>8</v>
      </c>
      <c r="B605" s="5" t="s">
        <v>16</v>
      </c>
      <c r="C605" s="5" t="s">
        <v>169</v>
      </c>
      <c r="D605" s="5" t="s">
        <v>35</v>
      </c>
      <c r="E605" s="5" t="s">
        <v>128</v>
      </c>
      <c r="F605" s="5" t="s">
        <v>166</v>
      </c>
      <c r="G605" s="5" t="s">
        <v>167</v>
      </c>
      <c r="H605" s="5" t="s">
        <v>170</v>
      </c>
      <c r="I605" s="5" t="s">
        <v>63</v>
      </c>
      <c r="J605" s="5">
        <v>17.272875270575</v>
      </c>
      <c r="K605" s="5">
        <v>-98.276681951238004</v>
      </c>
      <c r="L605" s="5" t="str">
        <f>HYPERLINK("https://maps.google.com/?q=17.2728752705751,-98.276681951238004", "🔗 Ver Mapa")</f>
        <v>🔗 Ver Mapa</v>
      </c>
    </row>
    <row r="606" spans="1:12" ht="43.5" x14ac:dyDescent="0.35">
      <c r="A606" s="6" t="s">
        <v>8</v>
      </c>
      <c r="B606" s="6" t="s">
        <v>16</v>
      </c>
      <c r="C606" s="6" t="s">
        <v>169</v>
      </c>
      <c r="D606" s="6" t="s">
        <v>35</v>
      </c>
      <c r="E606" s="6" t="s">
        <v>128</v>
      </c>
      <c r="F606" s="6" t="s">
        <v>166</v>
      </c>
      <c r="G606" s="6" t="s">
        <v>167</v>
      </c>
      <c r="H606" s="6" t="s">
        <v>170</v>
      </c>
      <c r="I606" s="6" t="s">
        <v>63</v>
      </c>
      <c r="J606" s="6">
        <v>17.273006802796999</v>
      </c>
      <c r="K606" s="6">
        <v>-98.273605941773994</v>
      </c>
      <c r="L606" s="6" t="str">
        <f>HYPERLINK("https://maps.google.com/?q=17.2730068027971,-98.273605941773596", "🔗 Ver Mapa")</f>
        <v>🔗 Ver Mapa</v>
      </c>
    </row>
    <row r="607" spans="1:12" ht="43.5" x14ac:dyDescent="0.35">
      <c r="A607" s="5" t="s">
        <v>8</v>
      </c>
      <c r="B607" s="5" t="s">
        <v>16</v>
      </c>
      <c r="C607" s="5" t="s">
        <v>169</v>
      </c>
      <c r="D607" s="5" t="s">
        <v>35</v>
      </c>
      <c r="E607" s="5" t="s">
        <v>128</v>
      </c>
      <c r="F607" s="5" t="s">
        <v>166</v>
      </c>
      <c r="G607" s="5" t="s">
        <v>167</v>
      </c>
      <c r="H607" s="5" t="s">
        <v>170</v>
      </c>
      <c r="I607" s="5" t="s">
        <v>63</v>
      </c>
      <c r="J607" s="5">
        <v>17.273063563956001</v>
      </c>
      <c r="K607" s="5">
        <v>-98.275678046626993</v>
      </c>
      <c r="L607" s="5" t="str">
        <f>HYPERLINK("https://maps.google.com/?q=17.2730635639563,-98.275678046626993", "🔗 Ver Mapa")</f>
        <v>🔗 Ver Mapa</v>
      </c>
    </row>
    <row r="608" spans="1:12" ht="43.5" x14ac:dyDescent="0.35">
      <c r="A608" s="6" t="s">
        <v>8</v>
      </c>
      <c r="B608" s="6" t="s">
        <v>16</v>
      </c>
      <c r="C608" s="6" t="s">
        <v>169</v>
      </c>
      <c r="D608" s="6" t="s">
        <v>35</v>
      </c>
      <c r="E608" s="6" t="s">
        <v>128</v>
      </c>
      <c r="F608" s="6" t="s">
        <v>166</v>
      </c>
      <c r="G608" s="6" t="s">
        <v>167</v>
      </c>
      <c r="H608" s="6" t="s">
        <v>170</v>
      </c>
      <c r="I608" s="6" t="s">
        <v>63</v>
      </c>
      <c r="J608" s="6">
        <v>17.273174247678998</v>
      </c>
      <c r="K608" s="6">
        <v>-98.274477635582002</v>
      </c>
      <c r="L608" s="6" t="str">
        <f>HYPERLINK("https://maps.google.com/?q=17.2731742476786,-98.274477635582002", "🔗 Ver Mapa")</f>
        <v>🔗 Ver Mapa</v>
      </c>
    </row>
    <row r="609" spans="1:12" ht="43.5" x14ac:dyDescent="0.35">
      <c r="A609" s="5" t="s">
        <v>8</v>
      </c>
      <c r="B609" s="5" t="s">
        <v>16</v>
      </c>
      <c r="C609" s="5" t="s">
        <v>169</v>
      </c>
      <c r="D609" s="5" t="s">
        <v>35</v>
      </c>
      <c r="E609" s="5" t="s">
        <v>128</v>
      </c>
      <c r="F609" s="5" t="s">
        <v>166</v>
      </c>
      <c r="G609" s="5" t="s">
        <v>167</v>
      </c>
      <c r="H609" s="5" t="s">
        <v>170</v>
      </c>
      <c r="I609" s="5" t="s">
        <v>63</v>
      </c>
      <c r="J609" s="5">
        <v>17.273232563954</v>
      </c>
      <c r="K609" s="5">
        <v>-98.274674317790996</v>
      </c>
      <c r="L609" s="5" t="str">
        <f>HYPERLINK("https://maps.google.com/?q=17.273232563954,-98.274674317790996", "🔗 Ver Mapa")</f>
        <v>🔗 Ver Mapa</v>
      </c>
    </row>
    <row r="610" spans="1:12" ht="43.5" x14ac:dyDescent="0.35">
      <c r="A610" s="6" t="s">
        <v>8</v>
      </c>
      <c r="B610" s="6" t="s">
        <v>16</v>
      </c>
      <c r="C610" s="6" t="s">
        <v>169</v>
      </c>
      <c r="D610" s="6" t="s">
        <v>35</v>
      </c>
      <c r="E610" s="6" t="s">
        <v>128</v>
      </c>
      <c r="F610" s="6" t="s">
        <v>166</v>
      </c>
      <c r="G610" s="6" t="s">
        <v>167</v>
      </c>
      <c r="H610" s="6" t="s">
        <v>170</v>
      </c>
      <c r="I610" s="6" t="s">
        <v>63</v>
      </c>
      <c r="J610" s="6">
        <v>17.273491686423998</v>
      </c>
      <c r="K610" s="6">
        <v>-98.278240682209002</v>
      </c>
      <c r="L610" s="6" t="str">
        <f>HYPERLINK("https://maps.google.com/?q=17.2734916864241,-98.278240682209002", "🔗 Ver Mapa")</f>
        <v>🔗 Ver Mapa</v>
      </c>
    </row>
    <row r="611" spans="1:12" ht="43.5" x14ac:dyDescent="0.35">
      <c r="A611" s="5" t="s">
        <v>8</v>
      </c>
      <c r="B611" s="5" t="s">
        <v>16</v>
      </c>
      <c r="C611" s="5" t="s">
        <v>169</v>
      </c>
      <c r="D611" s="5" t="s">
        <v>35</v>
      </c>
      <c r="E611" s="5" t="s">
        <v>128</v>
      </c>
      <c r="F611" s="5" t="s">
        <v>166</v>
      </c>
      <c r="G611" s="5" t="s">
        <v>167</v>
      </c>
      <c r="H611" s="5" t="s">
        <v>170</v>
      </c>
      <c r="I611" s="5" t="s">
        <v>63</v>
      </c>
      <c r="J611" s="5">
        <v>17.273617236798</v>
      </c>
      <c r="K611" s="5">
        <v>-98.275563054879001</v>
      </c>
      <c r="L611" s="5" t="str">
        <f>HYPERLINK("https://maps.google.com/?q=17.2736172367977,-98.275563054878901", "🔗 Ver Mapa")</f>
        <v>🔗 Ver Mapa</v>
      </c>
    </row>
    <row r="612" spans="1:12" ht="43.5" x14ac:dyDescent="0.35">
      <c r="A612" s="6" t="s">
        <v>8</v>
      </c>
      <c r="B612" s="6" t="s">
        <v>16</v>
      </c>
      <c r="C612" s="6" t="s">
        <v>169</v>
      </c>
      <c r="D612" s="6" t="s">
        <v>35</v>
      </c>
      <c r="E612" s="6" t="s">
        <v>128</v>
      </c>
      <c r="F612" s="6" t="s">
        <v>166</v>
      </c>
      <c r="G612" s="6" t="s">
        <v>167</v>
      </c>
      <c r="H612" s="6" t="s">
        <v>170</v>
      </c>
      <c r="I612" s="6" t="s">
        <v>63</v>
      </c>
      <c r="J612" s="6">
        <v>17.273658166739001</v>
      </c>
      <c r="K612" s="6">
        <v>-98.279225052916999</v>
      </c>
      <c r="L612" s="6" t="str">
        <f>HYPERLINK("https://maps.google.com/?q=17.2736581667392,-98.279225052917198", "🔗 Ver Mapa")</f>
        <v>🔗 Ver Mapa</v>
      </c>
    </row>
    <row r="613" spans="1:12" ht="43.5" x14ac:dyDescent="0.35">
      <c r="A613" s="5" t="s">
        <v>8</v>
      </c>
      <c r="B613" s="5" t="s">
        <v>16</v>
      </c>
      <c r="C613" s="5" t="s">
        <v>169</v>
      </c>
      <c r="D613" s="5" t="s">
        <v>35</v>
      </c>
      <c r="E613" s="5" t="s">
        <v>128</v>
      </c>
      <c r="F613" s="5" t="s">
        <v>166</v>
      </c>
      <c r="G613" s="5" t="s">
        <v>167</v>
      </c>
      <c r="H613" s="5" t="s">
        <v>170</v>
      </c>
      <c r="I613" s="5" t="s">
        <v>63</v>
      </c>
      <c r="J613" s="5">
        <v>17.273786125179001</v>
      </c>
      <c r="K613" s="5">
        <v>-98.268175999999997</v>
      </c>
      <c r="L613" s="5" t="str">
        <f>HYPERLINK("https://maps.google.com/?q=17.2737861251791,-98.268175999999997", "🔗 Ver Mapa")</f>
        <v>🔗 Ver Mapa</v>
      </c>
    </row>
    <row r="614" spans="1:12" ht="43.5" x14ac:dyDescent="0.35">
      <c r="A614" s="6" t="s">
        <v>8</v>
      </c>
      <c r="B614" s="6" t="s">
        <v>16</v>
      </c>
      <c r="C614" s="6" t="s">
        <v>169</v>
      </c>
      <c r="D614" s="6" t="s">
        <v>35</v>
      </c>
      <c r="E614" s="6" t="s">
        <v>128</v>
      </c>
      <c r="F614" s="6" t="s">
        <v>166</v>
      </c>
      <c r="G614" s="6" t="s">
        <v>167</v>
      </c>
      <c r="H614" s="6" t="s">
        <v>170</v>
      </c>
      <c r="I614" s="6" t="s">
        <v>63</v>
      </c>
      <c r="J614" s="6">
        <v>17.273848563944998</v>
      </c>
      <c r="K614" s="6">
        <v>-98.278692000000007</v>
      </c>
      <c r="L614" s="6" t="str">
        <f>HYPERLINK("https://maps.google.com/?q=17.2738485639455,-98.278692000000007", "🔗 Ver Mapa")</f>
        <v>🔗 Ver Mapa</v>
      </c>
    </row>
    <row r="615" spans="1:12" ht="43.5" x14ac:dyDescent="0.35">
      <c r="A615" s="5" t="s">
        <v>8</v>
      </c>
      <c r="B615" s="5" t="s">
        <v>16</v>
      </c>
      <c r="C615" s="5" t="s">
        <v>169</v>
      </c>
      <c r="D615" s="5" t="s">
        <v>35</v>
      </c>
      <c r="E615" s="5" t="s">
        <v>128</v>
      </c>
      <c r="F615" s="5" t="s">
        <v>166</v>
      </c>
      <c r="G615" s="5" t="s">
        <v>167</v>
      </c>
      <c r="H615" s="5" t="s">
        <v>170</v>
      </c>
      <c r="I615" s="5" t="s">
        <v>63</v>
      </c>
      <c r="J615" s="5">
        <v>17.273872563945002</v>
      </c>
      <c r="K615" s="5">
        <v>-98.279553635582005</v>
      </c>
      <c r="L615" s="5" t="str">
        <f>HYPERLINK("https://maps.google.com/?q=17.2738725639452,-98.279553635582005", "🔗 Ver Mapa")</f>
        <v>🔗 Ver Mapa</v>
      </c>
    </row>
    <row r="616" spans="1:12" ht="43.5" x14ac:dyDescent="0.35">
      <c r="A616" s="6" t="s">
        <v>8</v>
      </c>
      <c r="B616" s="6" t="s">
        <v>16</v>
      </c>
      <c r="C616" s="6" t="s">
        <v>169</v>
      </c>
      <c r="D616" s="6" t="s">
        <v>35</v>
      </c>
      <c r="E616" s="6" t="s">
        <v>128</v>
      </c>
      <c r="F616" s="6" t="s">
        <v>166</v>
      </c>
      <c r="G616" s="6" t="s">
        <v>167</v>
      </c>
      <c r="H616" s="6" t="s">
        <v>170</v>
      </c>
      <c r="I616" s="6" t="s">
        <v>63</v>
      </c>
      <c r="J616" s="6">
        <v>17.274464441490998</v>
      </c>
      <c r="K616" s="6">
        <v>-98.272238000000002</v>
      </c>
      <c r="L616" s="6" t="str">
        <f>HYPERLINK("https://maps.google.com/?q=17.2744644414905,-98.272238000000002", "🔗 Ver Mapa")</f>
        <v>🔗 Ver Mapa</v>
      </c>
    </row>
    <row r="617" spans="1:12" ht="43.5" x14ac:dyDescent="0.35">
      <c r="A617" s="5" t="s">
        <v>8</v>
      </c>
      <c r="B617" s="5" t="s">
        <v>16</v>
      </c>
      <c r="C617" s="5" t="s">
        <v>169</v>
      </c>
      <c r="D617" s="5" t="s">
        <v>35</v>
      </c>
      <c r="E617" s="5" t="s">
        <v>128</v>
      </c>
      <c r="F617" s="5" t="s">
        <v>166</v>
      </c>
      <c r="G617" s="5" t="s">
        <v>167</v>
      </c>
      <c r="H617" s="5" t="s">
        <v>170</v>
      </c>
      <c r="I617" s="5" t="s">
        <v>63</v>
      </c>
      <c r="J617" s="5">
        <v>17.274857397470001</v>
      </c>
      <c r="K617" s="5">
        <v>-98.278183034392995</v>
      </c>
      <c r="L617" s="5" t="str">
        <f>HYPERLINK("https://maps.google.com/?q=17.2748573974704,-98.278183034393194", "🔗 Ver Mapa")</f>
        <v>🔗 Ver Mapa</v>
      </c>
    </row>
    <row r="618" spans="1:12" ht="43.5" x14ac:dyDescent="0.35">
      <c r="A618" s="6" t="s">
        <v>8</v>
      </c>
      <c r="B618" s="6" t="s">
        <v>16</v>
      </c>
      <c r="C618" s="6" t="s">
        <v>169</v>
      </c>
      <c r="D618" s="6" t="s">
        <v>35</v>
      </c>
      <c r="E618" s="6" t="s">
        <v>128</v>
      </c>
      <c r="F618" s="6" t="s">
        <v>166</v>
      </c>
      <c r="G618" s="6" t="s">
        <v>167</v>
      </c>
      <c r="H618" s="6" t="s">
        <v>170</v>
      </c>
      <c r="I618" s="6" t="s">
        <v>63</v>
      </c>
      <c r="J618" s="6">
        <v>17.274972125146</v>
      </c>
      <c r="K618" s="6">
        <v>-98.277687364418</v>
      </c>
      <c r="L618" s="6" t="str">
        <f>HYPERLINK("https://maps.google.com/?q=17.2749721251463,-98.277687364418", "🔗 Ver Mapa")</f>
        <v>🔗 Ver Mapa</v>
      </c>
    </row>
    <row r="619" spans="1:12" ht="43.5" x14ac:dyDescent="0.35">
      <c r="A619" s="5" t="s">
        <v>8</v>
      </c>
      <c r="B619" s="5" t="s">
        <v>16</v>
      </c>
      <c r="C619" s="5" t="s">
        <v>169</v>
      </c>
      <c r="D619" s="5" t="s">
        <v>35</v>
      </c>
      <c r="E619" s="5" t="s">
        <v>128</v>
      </c>
      <c r="F619" s="5" t="s">
        <v>166</v>
      </c>
      <c r="G619" s="5" t="s">
        <v>167</v>
      </c>
      <c r="H619" s="5" t="s">
        <v>170</v>
      </c>
      <c r="I619" s="5" t="s">
        <v>63</v>
      </c>
      <c r="J619" s="5">
        <v>17.275128886356001</v>
      </c>
      <c r="K619" s="5">
        <v>-98.277946999999998</v>
      </c>
      <c r="L619" s="5" t="str">
        <f>HYPERLINK("https://maps.google.com/?q=17.2751288863561,-98.277946999999998", "🔗 Ver Mapa")</f>
        <v>🔗 Ver Mapa</v>
      </c>
    </row>
    <row r="620" spans="1:12" ht="43.5" x14ac:dyDescent="0.35">
      <c r="A620" s="6" t="s">
        <v>8</v>
      </c>
      <c r="B620" s="6" t="s">
        <v>16</v>
      </c>
      <c r="C620" s="6" t="s">
        <v>169</v>
      </c>
      <c r="D620" s="6" t="s">
        <v>35</v>
      </c>
      <c r="E620" s="6" t="s">
        <v>128</v>
      </c>
      <c r="F620" s="6" t="s">
        <v>166</v>
      </c>
      <c r="G620" s="6" t="s">
        <v>167</v>
      </c>
      <c r="H620" s="6" t="s">
        <v>170</v>
      </c>
      <c r="I620" s="6" t="s">
        <v>63</v>
      </c>
      <c r="J620" s="6">
        <v>17.275337283319999</v>
      </c>
      <c r="K620" s="6">
        <v>-98.277501341103999</v>
      </c>
      <c r="L620" s="6" t="str">
        <f>HYPERLINK("https://maps.google.com/?q=17.2753372833195,-98.277501341104497", "🔗 Ver Mapa")</f>
        <v>🔗 Ver Mapa</v>
      </c>
    </row>
    <row r="621" spans="1:12" ht="43.5" x14ac:dyDescent="0.35">
      <c r="A621" s="5" t="s">
        <v>8</v>
      </c>
      <c r="B621" s="5" t="s">
        <v>16</v>
      </c>
      <c r="C621" s="5" t="s">
        <v>169</v>
      </c>
      <c r="D621" s="5" t="s">
        <v>35</v>
      </c>
      <c r="E621" s="5" t="s">
        <v>128</v>
      </c>
      <c r="F621" s="5" t="s">
        <v>166</v>
      </c>
      <c r="G621" s="5" t="s">
        <v>167</v>
      </c>
      <c r="H621" s="5" t="s">
        <v>170</v>
      </c>
      <c r="I621" s="5" t="s">
        <v>63</v>
      </c>
      <c r="J621" s="5">
        <v>17.275416031148001</v>
      </c>
      <c r="K621" s="5">
        <v>-98.27572815904</v>
      </c>
      <c r="L621" s="5" t="str">
        <f>HYPERLINK("https://maps.google.com/?q=17.2754160311476,-98.275728159039502", "🔗 Ver Mapa")</f>
        <v>🔗 Ver Mapa</v>
      </c>
    </row>
    <row r="622" spans="1:12" ht="43.5" x14ac:dyDescent="0.35">
      <c r="A622" s="6" t="s">
        <v>8</v>
      </c>
      <c r="B622" s="6" t="s">
        <v>16</v>
      </c>
      <c r="C622" s="6" t="s">
        <v>169</v>
      </c>
      <c r="D622" s="6" t="s">
        <v>35</v>
      </c>
      <c r="E622" s="6" t="s">
        <v>128</v>
      </c>
      <c r="F622" s="6" t="s">
        <v>166</v>
      </c>
      <c r="G622" s="6" t="s">
        <v>167</v>
      </c>
      <c r="H622" s="6" t="s">
        <v>170</v>
      </c>
      <c r="I622" s="6" t="s">
        <v>63</v>
      </c>
      <c r="J622" s="6">
        <v>17.275419283319</v>
      </c>
      <c r="K622" s="6">
        <v>-98.277323317791002</v>
      </c>
      <c r="L622" s="6" t="str">
        <f>HYPERLINK("https://maps.google.com/?q=17.2754192833189,-98.277323317791002", "🔗 Ver Mapa")</f>
        <v>🔗 Ver Mapa</v>
      </c>
    </row>
    <row r="623" spans="1:12" ht="43.5" x14ac:dyDescent="0.35">
      <c r="A623" s="5" t="s">
        <v>8</v>
      </c>
      <c r="B623" s="5" t="s">
        <v>16</v>
      </c>
      <c r="C623" s="5" t="s">
        <v>169</v>
      </c>
      <c r="D623" s="5" t="s">
        <v>35</v>
      </c>
      <c r="E623" s="5" t="s">
        <v>128</v>
      </c>
      <c r="F623" s="5" t="s">
        <v>166</v>
      </c>
      <c r="G623" s="5" t="s">
        <v>167</v>
      </c>
      <c r="H623" s="5" t="s">
        <v>170</v>
      </c>
      <c r="I623" s="5" t="s">
        <v>63</v>
      </c>
      <c r="J623" s="5">
        <v>17.275585070931999</v>
      </c>
      <c r="K623" s="5">
        <v>-98.275650374977999</v>
      </c>
      <c r="L623" s="5" t="str">
        <f>HYPERLINK("https://maps.google.com/?q=17.2755850709316,-98.275650374978099", "🔗 Ver Mapa")</f>
        <v>🔗 Ver Mapa</v>
      </c>
    </row>
    <row r="624" spans="1:12" ht="43.5" x14ac:dyDescent="0.35">
      <c r="A624" s="6" t="s">
        <v>8</v>
      </c>
      <c r="B624" s="6" t="s">
        <v>16</v>
      </c>
      <c r="C624" s="6" t="s">
        <v>169</v>
      </c>
      <c r="D624" s="6" t="s">
        <v>35</v>
      </c>
      <c r="E624" s="6" t="s">
        <v>128</v>
      </c>
      <c r="F624" s="6" t="s">
        <v>166</v>
      </c>
      <c r="G624" s="6" t="s">
        <v>167</v>
      </c>
      <c r="H624" s="6" t="s">
        <v>170</v>
      </c>
      <c r="I624" s="6" t="s">
        <v>63</v>
      </c>
      <c r="J624" s="6">
        <v>17.275684902529999</v>
      </c>
      <c r="K624" s="6">
        <v>-98.275288141716004</v>
      </c>
      <c r="L624" s="6" t="str">
        <f>HYPERLINK("https://maps.google.com/?q=17.2756849025297,-98.275288141715805", "🔗 Ver Mapa")</f>
        <v>🔗 Ver Mapa</v>
      </c>
    </row>
    <row r="625" spans="1:12" ht="43.5" x14ac:dyDescent="0.35">
      <c r="A625" s="5" t="s">
        <v>8</v>
      </c>
      <c r="B625" s="5" t="s">
        <v>16</v>
      </c>
      <c r="C625" s="5" t="s">
        <v>169</v>
      </c>
      <c r="D625" s="5" t="s">
        <v>35</v>
      </c>
      <c r="E625" s="5" t="s">
        <v>128</v>
      </c>
      <c r="F625" s="5" t="s">
        <v>166</v>
      </c>
      <c r="G625" s="5" t="s">
        <v>167</v>
      </c>
      <c r="H625" s="5" t="s">
        <v>170</v>
      </c>
      <c r="I625" s="5" t="s">
        <v>63</v>
      </c>
      <c r="J625" s="5">
        <v>17.275781467685999</v>
      </c>
      <c r="K625" s="5">
        <v>-98.277413779099007</v>
      </c>
      <c r="L625" s="5" t="str">
        <f>HYPERLINK("https://maps.google.com/?q=17.2757814676861,-98.277413779098595", "🔗 Ver Mapa")</f>
        <v>🔗 Ver Mapa</v>
      </c>
    </row>
    <row r="626" spans="1:12" ht="43.5" x14ac:dyDescent="0.35">
      <c r="A626" s="6" t="s">
        <v>8</v>
      </c>
      <c r="B626" s="6" t="s">
        <v>16</v>
      </c>
      <c r="C626" s="6" t="s">
        <v>169</v>
      </c>
      <c r="D626" s="6" t="s">
        <v>35</v>
      </c>
      <c r="E626" s="6" t="s">
        <v>128</v>
      </c>
      <c r="F626" s="6" t="s">
        <v>166</v>
      </c>
      <c r="G626" s="6" t="s">
        <v>167</v>
      </c>
      <c r="H626" s="6" t="s">
        <v>170</v>
      </c>
      <c r="I626" s="6" t="s">
        <v>63</v>
      </c>
      <c r="J626" s="6">
        <v>17.275932578715999</v>
      </c>
      <c r="K626" s="6">
        <v>-98.277454012234003</v>
      </c>
      <c r="L626" s="6" t="str">
        <f>HYPERLINK("https://maps.google.com/?q=17.2759325787157,-98.277454012233804", "🔗 Ver Mapa")</f>
        <v>🔗 Ver Mapa</v>
      </c>
    </row>
    <row r="627" spans="1:12" ht="43.5" x14ac:dyDescent="0.35">
      <c r="A627" s="5" t="s">
        <v>8</v>
      </c>
      <c r="B627" s="5" t="s">
        <v>16</v>
      </c>
      <c r="C627" s="5" t="s">
        <v>169</v>
      </c>
      <c r="D627" s="5" t="s">
        <v>35</v>
      </c>
      <c r="E627" s="5" t="s">
        <v>128</v>
      </c>
      <c r="F627" s="5" t="s">
        <v>166</v>
      </c>
      <c r="G627" s="5" t="s">
        <v>167</v>
      </c>
      <c r="H627" s="5" t="s">
        <v>170</v>
      </c>
      <c r="I627" s="5" t="s">
        <v>63</v>
      </c>
      <c r="J627" s="5">
        <v>17.276101568211999</v>
      </c>
      <c r="K627" s="5">
        <v>-98.277556718910006</v>
      </c>
      <c r="L627" s="5" t="str">
        <f>HYPERLINK("https://maps.google.com/?q=17.2761015682121,-98.277556718910404", "🔗 Ver Mapa")</f>
        <v>🔗 Ver Mapa</v>
      </c>
    </row>
    <row r="628" spans="1:12" ht="43.5" x14ac:dyDescent="0.35">
      <c r="A628" s="6" t="s">
        <v>8</v>
      </c>
      <c r="B628" s="6" t="s">
        <v>16</v>
      </c>
      <c r="C628" s="6" t="s">
        <v>169</v>
      </c>
      <c r="D628" s="6" t="s">
        <v>35</v>
      </c>
      <c r="E628" s="6" t="s">
        <v>128</v>
      </c>
      <c r="F628" s="6" t="s">
        <v>166</v>
      </c>
      <c r="G628" s="6" t="s">
        <v>167</v>
      </c>
      <c r="H628" s="6" t="s">
        <v>170</v>
      </c>
      <c r="I628" s="6" t="s">
        <v>63</v>
      </c>
      <c r="J628" s="6">
        <v>17.278056283301002</v>
      </c>
      <c r="K628" s="6">
        <v>-98.279956023314</v>
      </c>
      <c r="L628" s="6" t="str">
        <f>HYPERLINK("https://maps.google.com/?q=17.278056283301,-98.279956023313503", "🔗 Ver Mapa")</f>
        <v>🔗 Ver Mapa</v>
      </c>
    </row>
    <row r="629" spans="1:12" ht="43.5" x14ac:dyDescent="0.35">
      <c r="A629" s="5" t="s">
        <v>8</v>
      </c>
      <c r="B629" s="5" t="s">
        <v>16</v>
      </c>
      <c r="C629" s="5" t="s">
        <v>169</v>
      </c>
      <c r="D629" s="5" t="s">
        <v>35</v>
      </c>
      <c r="E629" s="5" t="s">
        <v>128</v>
      </c>
      <c r="F629" s="5" t="s">
        <v>166</v>
      </c>
      <c r="G629" s="5" t="s">
        <v>167</v>
      </c>
      <c r="H629" s="5" t="s">
        <v>170</v>
      </c>
      <c r="I629" s="5" t="s">
        <v>63</v>
      </c>
      <c r="J629" s="5">
        <v>17.278076002713998</v>
      </c>
      <c r="K629" s="5">
        <v>-98.279696999999999</v>
      </c>
      <c r="L629" s="5" t="str">
        <f>HYPERLINK("https://maps.google.com/?q=17.2780760027144,-98.279696999999999", "🔗 Ver Mapa")</f>
        <v>🔗 Ver Mapa</v>
      </c>
    </row>
    <row r="630" spans="1:12" ht="43.5" x14ac:dyDescent="0.35">
      <c r="A630" s="6" t="s">
        <v>8</v>
      </c>
      <c r="B630" s="6" t="s">
        <v>16</v>
      </c>
      <c r="C630" s="6" t="s">
        <v>169</v>
      </c>
      <c r="D630" s="6" t="s">
        <v>35</v>
      </c>
      <c r="E630" s="6" t="s">
        <v>128</v>
      </c>
      <c r="F630" s="6" t="s">
        <v>166</v>
      </c>
      <c r="G630" s="6" t="s">
        <v>167</v>
      </c>
      <c r="H630" s="6" t="s">
        <v>170</v>
      </c>
      <c r="I630" s="6" t="s">
        <v>63</v>
      </c>
      <c r="J630" s="6">
        <v>17.278157802578001</v>
      </c>
      <c r="K630" s="6">
        <v>-98.279924312654998</v>
      </c>
      <c r="L630" s="6" t="str">
        <f>HYPERLINK("https://maps.google.com/?q=17.278157802578,-98.279924312654899", "🔗 Ver Mapa")</f>
        <v>🔗 Ver Mapa</v>
      </c>
    </row>
    <row r="631" spans="1:12" ht="43.5" x14ac:dyDescent="0.35">
      <c r="A631" s="5" t="s">
        <v>8</v>
      </c>
      <c r="B631" s="5" t="s">
        <v>16</v>
      </c>
      <c r="C631" s="5" t="s">
        <v>169</v>
      </c>
      <c r="D631" s="5" t="s">
        <v>35</v>
      </c>
      <c r="E631" s="5" t="s">
        <v>128</v>
      </c>
      <c r="F631" s="5" t="s">
        <v>166</v>
      </c>
      <c r="G631" s="5" t="s">
        <v>167</v>
      </c>
      <c r="H631" s="5" t="s">
        <v>170</v>
      </c>
      <c r="I631" s="5" t="s">
        <v>63</v>
      </c>
      <c r="J631" s="5">
        <v>17.2782052833</v>
      </c>
      <c r="K631" s="5">
        <v>-98.280018999999996</v>
      </c>
      <c r="L631" s="5" t="str">
        <f>HYPERLINK("https://maps.google.com/?q=17.2782052833,-98.280018999999996", "🔗 Ver Mapa")</f>
        <v>🔗 Ver Mapa</v>
      </c>
    </row>
    <row r="632" spans="1:12" ht="43.5" x14ac:dyDescent="0.35">
      <c r="A632" s="6" t="s">
        <v>8</v>
      </c>
      <c r="B632" s="6" t="s">
        <v>16</v>
      </c>
      <c r="C632" s="6" t="s">
        <v>169</v>
      </c>
      <c r="D632" s="6" t="s">
        <v>35</v>
      </c>
      <c r="E632" s="6" t="s">
        <v>128</v>
      </c>
      <c r="F632" s="6" t="s">
        <v>166</v>
      </c>
      <c r="G632" s="6" t="s">
        <v>167</v>
      </c>
      <c r="H632" s="6" t="s">
        <v>170</v>
      </c>
      <c r="I632" s="6" t="s">
        <v>63</v>
      </c>
      <c r="J632" s="6">
        <v>17.278234553790998</v>
      </c>
      <c r="K632" s="6">
        <v>-98.280283831781006</v>
      </c>
      <c r="L632" s="6" t="str">
        <f>HYPERLINK("https://maps.google.com/?q=17.2782345537905,-98.280283831781006", "🔗 Ver Mapa")</f>
        <v>🔗 Ver Mapa</v>
      </c>
    </row>
    <row r="633" spans="1:12" ht="43.5" x14ac:dyDescent="0.35">
      <c r="A633" s="5" t="s">
        <v>8</v>
      </c>
      <c r="B633" s="5" t="s">
        <v>16</v>
      </c>
      <c r="C633" s="5" t="s">
        <v>169</v>
      </c>
      <c r="D633" s="5" t="s">
        <v>35</v>
      </c>
      <c r="E633" s="5" t="s">
        <v>128</v>
      </c>
      <c r="F633" s="5" t="s">
        <v>166</v>
      </c>
      <c r="G633" s="5" t="s">
        <v>167</v>
      </c>
      <c r="H633" s="5" t="s">
        <v>170</v>
      </c>
      <c r="I633" s="5" t="s">
        <v>63</v>
      </c>
      <c r="J633" s="5">
        <v>17.278372441544999</v>
      </c>
      <c r="K633" s="5">
        <v>-98.280025317791001</v>
      </c>
      <c r="L633" s="5" t="str">
        <f>HYPERLINK("https://maps.google.com/?q=17.2783724415455,-98.280025317791001", "🔗 Ver Mapa")</f>
        <v>🔗 Ver Mapa</v>
      </c>
    </row>
    <row r="634" spans="1:12" ht="43.5" x14ac:dyDescent="0.35">
      <c r="A634" s="6" t="s">
        <v>8</v>
      </c>
      <c r="B634" s="6" t="s">
        <v>16</v>
      </c>
      <c r="C634" s="6" t="s">
        <v>169</v>
      </c>
      <c r="D634" s="6" t="s">
        <v>35</v>
      </c>
      <c r="E634" s="6" t="s">
        <v>128</v>
      </c>
      <c r="F634" s="6" t="s">
        <v>166</v>
      </c>
      <c r="G634" s="6" t="s">
        <v>167</v>
      </c>
      <c r="H634" s="6" t="s">
        <v>170</v>
      </c>
      <c r="I634" s="6" t="s">
        <v>63</v>
      </c>
      <c r="J634" s="6">
        <v>17.279252534143001</v>
      </c>
      <c r="K634" s="6">
        <v>-98.274501712700996</v>
      </c>
      <c r="L634" s="6" t="str">
        <f>HYPERLINK("https://maps.google.com/?q=17.2792525341426,-98.274501712700896", "🔗 Ver Mapa")</f>
        <v>🔗 Ver Mapa</v>
      </c>
    </row>
    <row r="635" spans="1:12" ht="43.5" x14ac:dyDescent="0.35">
      <c r="A635" s="5" t="s">
        <v>8</v>
      </c>
      <c r="B635" s="5" t="s">
        <v>16</v>
      </c>
      <c r="C635" s="5" t="s">
        <v>169</v>
      </c>
      <c r="D635" s="5" t="s">
        <v>35</v>
      </c>
      <c r="E635" s="5" t="s">
        <v>128</v>
      </c>
      <c r="F635" s="5" t="s">
        <v>166</v>
      </c>
      <c r="G635" s="5" t="s">
        <v>167</v>
      </c>
      <c r="H635" s="5" t="s">
        <v>170</v>
      </c>
      <c r="I635" s="5" t="s">
        <v>63</v>
      </c>
      <c r="J635" s="5">
        <v>17.279925002715</v>
      </c>
      <c r="K635" s="5">
        <v>-98.281366000000006</v>
      </c>
      <c r="L635" s="5" t="str">
        <f>HYPERLINK("https://maps.google.com/?q=17.2799250027147,-98.281366000000006", "🔗 Ver Mapa")</f>
        <v>🔗 Ver Mapa</v>
      </c>
    </row>
    <row r="636" spans="1:12" ht="43.5" x14ac:dyDescent="0.35">
      <c r="A636" s="6" t="s">
        <v>8</v>
      </c>
      <c r="B636" s="6" t="s">
        <v>16</v>
      </c>
      <c r="C636" s="6" t="s">
        <v>169</v>
      </c>
      <c r="D636" s="6" t="s">
        <v>35</v>
      </c>
      <c r="E636" s="6" t="s">
        <v>128</v>
      </c>
      <c r="F636" s="6" t="s">
        <v>166</v>
      </c>
      <c r="G636" s="6" t="s">
        <v>167</v>
      </c>
      <c r="H636" s="6" t="s">
        <v>170</v>
      </c>
      <c r="I636" s="6" t="s">
        <v>63</v>
      </c>
      <c r="J636" s="6">
        <v>17.279995563861</v>
      </c>
      <c r="K636" s="6">
        <v>-98.282073999999994</v>
      </c>
      <c r="L636" s="6" t="str">
        <f>HYPERLINK("https://maps.google.com/?q=17.2799955638611,-98.282073999999994", "🔗 Ver Mapa")</f>
        <v>🔗 Ver Mapa</v>
      </c>
    </row>
    <row r="637" spans="1:12" ht="43.5" x14ac:dyDescent="0.35">
      <c r="A637" s="5" t="s">
        <v>8</v>
      </c>
      <c r="B637" s="5" t="s">
        <v>16</v>
      </c>
      <c r="C637" s="5" t="s">
        <v>169</v>
      </c>
      <c r="D637" s="5" t="s">
        <v>35</v>
      </c>
      <c r="E637" s="5" t="s">
        <v>128</v>
      </c>
      <c r="F637" s="5" t="s">
        <v>166</v>
      </c>
      <c r="G637" s="5" t="s">
        <v>167</v>
      </c>
      <c r="H637" s="5" t="s">
        <v>170</v>
      </c>
      <c r="I637" s="5" t="s">
        <v>63</v>
      </c>
      <c r="J637" s="5">
        <v>17.280274441572001</v>
      </c>
      <c r="K637" s="5">
        <v>-98.281274999999994</v>
      </c>
      <c r="L637" s="5" t="str">
        <f>HYPERLINK("https://maps.google.com/?q=17.2802744415723,-98.281274999999994", "🔗 Ver Mapa")</f>
        <v>🔗 Ver Mapa</v>
      </c>
    </row>
    <row r="638" spans="1:12" ht="43.5" x14ac:dyDescent="0.35">
      <c r="A638" s="6" t="s">
        <v>8</v>
      </c>
      <c r="B638" s="6" t="s">
        <v>16</v>
      </c>
      <c r="C638" s="6" t="s">
        <v>169</v>
      </c>
      <c r="D638" s="6" t="s">
        <v>35</v>
      </c>
      <c r="E638" s="6" t="s">
        <v>128</v>
      </c>
      <c r="F638" s="6" t="s">
        <v>166</v>
      </c>
      <c r="G638" s="6" t="s">
        <v>167</v>
      </c>
      <c r="H638" s="6" t="s">
        <v>170</v>
      </c>
      <c r="I638" s="6" t="s">
        <v>63</v>
      </c>
      <c r="J638" s="6">
        <v>17.280707124988002</v>
      </c>
      <c r="K638" s="6">
        <v>-98.281475999999998</v>
      </c>
      <c r="L638" s="6" t="str">
        <f>HYPERLINK("https://maps.google.com/?q=17.2807071249878,-98.281475999999998", "🔗 Ver Mapa")</f>
        <v>🔗 Ver Mapa</v>
      </c>
    </row>
    <row r="639" spans="1:12" ht="43.5" x14ac:dyDescent="0.35">
      <c r="A639" s="5" t="s">
        <v>8</v>
      </c>
      <c r="B639" s="5" t="s">
        <v>16</v>
      </c>
      <c r="C639" s="5" t="s">
        <v>169</v>
      </c>
      <c r="D639" s="5" t="s">
        <v>35</v>
      </c>
      <c r="E639" s="5" t="s">
        <v>128</v>
      </c>
      <c r="F639" s="5" t="s">
        <v>166</v>
      </c>
      <c r="G639" s="5" t="s">
        <v>167</v>
      </c>
      <c r="H639" s="5" t="s">
        <v>170</v>
      </c>
      <c r="I639" s="5" t="s">
        <v>63</v>
      </c>
      <c r="J639" s="5">
        <v>17.281194002715001</v>
      </c>
      <c r="K639" s="5">
        <v>-98.281368999999998</v>
      </c>
      <c r="L639" s="5" t="str">
        <f>HYPERLINK("https://maps.google.com/?q=17.2811940027149,-98.281368999999998", "🔗 Ver Mapa")</f>
        <v>🔗 Ver Mapa</v>
      </c>
    </row>
    <row r="640" spans="1:12" ht="43.5" x14ac:dyDescent="0.35">
      <c r="A640" s="6" t="s">
        <v>8</v>
      </c>
      <c r="B640" s="6" t="s">
        <v>16</v>
      </c>
      <c r="C640" s="6" t="s">
        <v>169</v>
      </c>
      <c r="D640" s="6" t="s">
        <v>35</v>
      </c>
      <c r="E640" s="6" t="s">
        <v>128</v>
      </c>
      <c r="F640" s="6" t="s">
        <v>166</v>
      </c>
      <c r="G640" s="6" t="s">
        <v>167</v>
      </c>
      <c r="H640" s="6" t="s">
        <v>170</v>
      </c>
      <c r="I640" s="6" t="s">
        <v>63</v>
      </c>
      <c r="J640" s="6">
        <v>17.281606215558</v>
      </c>
      <c r="K640" s="6">
        <v>-98.281308569161993</v>
      </c>
      <c r="L640" s="6" t="str">
        <f>HYPERLINK("https://maps.google.com/?q=17.2816062155579,-98.281308569162206", "🔗 Ver Mapa")</f>
        <v>🔗 Ver Mapa</v>
      </c>
    </row>
    <row r="641" spans="1:12" ht="43.5" x14ac:dyDescent="0.35">
      <c r="A641" s="5" t="s">
        <v>8</v>
      </c>
      <c r="B641" s="5" t="s">
        <v>16</v>
      </c>
      <c r="C641" s="5" t="s">
        <v>169</v>
      </c>
      <c r="D641" s="5" t="s">
        <v>35</v>
      </c>
      <c r="E641" s="5" t="s">
        <v>128</v>
      </c>
      <c r="F641" s="5" t="s">
        <v>166</v>
      </c>
      <c r="G641" s="5" t="s">
        <v>167</v>
      </c>
      <c r="H641" s="5" t="s">
        <v>170</v>
      </c>
      <c r="I641" s="5" t="s">
        <v>63</v>
      </c>
      <c r="J641" s="5">
        <v>17.281928722155001</v>
      </c>
      <c r="K641" s="5">
        <v>-98.280306658895</v>
      </c>
      <c r="L641" s="5" t="str">
        <f>HYPERLINK("https://maps.google.com/?q=17.2819287221553,-98.280306658895498", "🔗 Ver Mapa")</f>
        <v>🔗 Ver Mapa</v>
      </c>
    </row>
    <row r="642" spans="1:12" ht="43.5" x14ac:dyDescent="0.35">
      <c r="A642" s="6" t="s">
        <v>8</v>
      </c>
      <c r="B642" s="6" t="s">
        <v>16</v>
      </c>
      <c r="C642" s="6" t="s">
        <v>171</v>
      </c>
      <c r="D642" s="6" t="s">
        <v>35</v>
      </c>
      <c r="E642" s="6" t="s">
        <v>128</v>
      </c>
      <c r="F642" s="6" t="s">
        <v>166</v>
      </c>
      <c r="G642" s="6" t="s">
        <v>167</v>
      </c>
      <c r="H642" s="6" t="s">
        <v>172</v>
      </c>
      <c r="I642" s="6" t="s">
        <v>63</v>
      </c>
      <c r="J642" s="6">
        <v>17.217285279999999</v>
      </c>
      <c r="K642" s="6">
        <v>-98.190271339999995</v>
      </c>
      <c r="L642" s="6" t="str">
        <f>HYPERLINK("https://maps.google.com/?q=17.21728528,-98.190271339999995", "🔗 Ver Mapa")</f>
        <v>🔗 Ver Mapa</v>
      </c>
    </row>
    <row r="643" spans="1:12" ht="43.5" x14ac:dyDescent="0.35">
      <c r="A643" s="5" t="s">
        <v>8</v>
      </c>
      <c r="B643" s="5" t="s">
        <v>16</v>
      </c>
      <c r="C643" s="5" t="s">
        <v>171</v>
      </c>
      <c r="D643" s="5" t="s">
        <v>35</v>
      </c>
      <c r="E643" s="5" t="s">
        <v>128</v>
      </c>
      <c r="F643" s="5" t="s">
        <v>166</v>
      </c>
      <c r="G643" s="5" t="s">
        <v>167</v>
      </c>
      <c r="H643" s="5" t="s">
        <v>172</v>
      </c>
      <c r="I643" s="5" t="s">
        <v>63</v>
      </c>
      <c r="J643" s="5">
        <v>17.217495849999999</v>
      </c>
      <c r="K643" s="5">
        <v>-98.190976660000004</v>
      </c>
      <c r="L643" s="5" t="str">
        <f>HYPERLINK("https://maps.google.com/?q=17.21749585,-98.190976660000004", "🔗 Ver Mapa")</f>
        <v>🔗 Ver Mapa</v>
      </c>
    </row>
    <row r="644" spans="1:12" ht="43.5" x14ac:dyDescent="0.35">
      <c r="A644" s="6" t="s">
        <v>8</v>
      </c>
      <c r="B644" s="6" t="s">
        <v>16</v>
      </c>
      <c r="C644" s="6" t="s">
        <v>171</v>
      </c>
      <c r="D644" s="6" t="s">
        <v>35</v>
      </c>
      <c r="E644" s="6" t="s">
        <v>128</v>
      </c>
      <c r="F644" s="6" t="s">
        <v>166</v>
      </c>
      <c r="G644" s="6" t="s">
        <v>167</v>
      </c>
      <c r="H644" s="6" t="s">
        <v>172</v>
      </c>
      <c r="I644" s="6" t="s">
        <v>63</v>
      </c>
      <c r="J644" s="6">
        <v>17.218865839999999</v>
      </c>
      <c r="K644" s="6">
        <v>-98.192429989999994</v>
      </c>
      <c r="L644" s="6" t="str">
        <f>HYPERLINK("https://maps.google.com/?q=17.21886584,-98.192429989999994", "🔗 Ver Mapa")</f>
        <v>🔗 Ver Mapa</v>
      </c>
    </row>
    <row r="645" spans="1:12" ht="43.5" x14ac:dyDescent="0.35">
      <c r="A645" s="5" t="s">
        <v>8</v>
      </c>
      <c r="B645" s="5" t="s">
        <v>16</v>
      </c>
      <c r="C645" s="5" t="s">
        <v>171</v>
      </c>
      <c r="D645" s="5" t="s">
        <v>35</v>
      </c>
      <c r="E645" s="5" t="s">
        <v>128</v>
      </c>
      <c r="F645" s="5" t="s">
        <v>166</v>
      </c>
      <c r="G645" s="5" t="s">
        <v>167</v>
      </c>
      <c r="H645" s="5" t="s">
        <v>172</v>
      </c>
      <c r="I645" s="5" t="s">
        <v>63</v>
      </c>
      <c r="J645" s="5">
        <v>17.219183529999999</v>
      </c>
      <c r="K645" s="5">
        <v>-98.192030340000002</v>
      </c>
      <c r="L645" s="5" t="str">
        <f>HYPERLINK("https://maps.google.com/?q=17.21918353,-98.192030340000002", "🔗 Ver Mapa")</f>
        <v>🔗 Ver Mapa</v>
      </c>
    </row>
    <row r="646" spans="1:12" ht="43.5" x14ac:dyDescent="0.35">
      <c r="A646" s="6" t="s">
        <v>8</v>
      </c>
      <c r="B646" s="6" t="s">
        <v>16</v>
      </c>
      <c r="C646" s="6" t="s">
        <v>171</v>
      </c>
      <c r="D646" s="6" t="s">
        <v>35</v>
      </c>
      <c r="E646" s="6" t="s">
        <v>128</v>
      </c>
      <c r="F646" s="6" t="s">
        <v>166</v>
      </c>
      <c r="G646" s="6" t="s">
        <v>167</v>
      </c>
      <c r="H646" s="6" t="s">
        <v>172</v>
      </c>
      <c r="I646" s="6" t="s">
        <v>63</v>
      </c>
      <c r="J646" s="6">
        <v>17.219250819999999</v>
      </c>
      <c r="K646" s="6">
        <v>-98.190804999999997</v>
      </c>
      <c r="L646" s="6" t="str">
        <f>HYPERLINK("https://maps.google.com/?q=17.21925082,-98.190804999999997", "🔗 Ver Mapa")</f>
        <v>🔗 Ver Mapa</v>
      </c>
    </row>
    <row r="647" spans="1:12" ht="43.5" x14ac:dyDescent="0.35">
      <c r="A647" s="5" t="s">
        <v>8</v>
      </c>
      <c r="B647" s="5" t="s">
        <v>16</v>
      </c>
      <c r="C647" s="5" t="s">
        <v>171</v>
      </c>
      <c r="D647" s="5" t="s">
        <v>35</v>
      </c>
      <c r="E647" s="5" t="s">
        <v>128</v>
      </c>
      <c r="F647" s="5" t="s">
        <v>166</v>
      </c>
      <c r="G647" s="5" t="s">
        <v>167</v>
      </c>
      <c r="H647" s="5" t="s">
        <v>172</v>
      </c>
      <c r="I647" s="5" t="s">
        <v>63</v>
      </c>
      <c r="J647" s="5">
        <v>17.219444249999999</v>
      </c>
      <c r="K647" s="5">
        <v>-98.19142325</v>
      </c>
      <c r="L647" s="5" t="str">
        <f>HYPERLINK("https://maps.google.com/?q=17.21944425,-98.19142325", "🔗 Ver Mapa")</f>
        <v>🔗 Ver Mapa</v>
      </c>
    </row>
    <row r="648" spans="1:12" ht="43.5" x14ac:dyDescent="0.35">
      <c r="A648" s="6" t="s">
        <v>8</v>
      </c>
      <c r="B648" s="6" t="s">
        <v>16</v>
      </c>
      <c r="C648" s="6" t="s">
        <v>171</v>
      </c>
      <c r="D648" s="6" t="s">
        <v>35</v>
      </c>
      <c r="E648" s="6" t="s">
        <v>128</v>
      </c>
      <c r="F648" s="6" t="s">
        <v>166</v>
      </c>
      <c r="G648" s="6" t="s">
        <v>167</v>
      </c>
      <c r="H648" s="6" t="s">
        <v>172</v>
      </c>
      <c r="I648" s="6" t="s">
        <v>63</v>
      </c>
      <c r="J648" s="6">
        <v>17.220139979999999</v>
      </c>
      <c r="K648" s="6">
        <v>-98.19177148</v>
      </c>
      <c r="L648" s="6" t="str">
        <f>HYPERLINK("https://maps.google.com/?q=17.22013998,-98.19177148", "🔗 Ver Mapa")</f>
        <v>🔗 Ver Mapa</v>
      </c>
    </row>
    <row r="649" spans="1:12" ht="43.5" x14ac:dyDescent="0.35">
      <c r="A649" s="5" t="s">
        <v>8</v>
      </c>
      <c r="B649" s="5" t="s">
        <v>16</v>
      </c>
      <c r="C649" s="5" t="s">
        <v>171</v>
      </c>
      <c r="D649" s="5" t="s">
        <v>35</v>
      </c>
      <c r="E649" s="5" t="s">
        <v>128</v>
      </c>
      <c r="F649" s="5" t="s">
        <v>166</v>
      </c>
      <c r="G649" s="5" t="s">
        <v>167</v>
      </c>
      <c r="H649" s="5" t="s">
        <v>172</v>
      </c>
      <c r="I649" s="5" t="s">
        <v>63</v>
      </c>
      <c r="J649" s="5">
        <v>17.220322620000001</v>
      </c>
      <c r="K649" s="5">
        <v>-98.191798050000003</v>
      </c>
      <c r="L649" s="5" t="str">
        <f>HYPERLINK("https://maps.google.com/?q=17.22032262,-98.191798050000003", "🔗 Ver Mapa")</f>
        <v>🔗 Ver Mapa</v>
      </c>
    </row>
    <row r="650" spans="1:12" ht="43.5" x14ac:dyDescent="0.35">
      <c r="A650" s="6" t="s">
        <v>8</v>
      </c>
      <c r="B650" s="6" t="s">
        <v>16</v>
      </c>
      <c r="C650" s="6" t="s">
        <v>171</v>
      </c>
      <c r="D650" s="6" t="s">
        <v>35</v>
      </c>
      <c r="E650" s="6" t="s">
        <v>128</v>
      </c>
      <c r="F650" s="6" t="s">
        <v>166</v>
      </c>
      <c r="G650" s="6" t="s">
        <v>167</v>
      </c>
      <c r="H650" s="6" t="s">
        <v>172</v>
      </c>
      <c r="I650" s="6" t="s">
        <v>63</v>
      </c>
      <c r="J650" s="6">
        <v>17.220394349999999</v>
      </c>
      <c r="K650" s="6">
        <v>-98.191666620000007</v>
      </c>
      <c r="L650" s="6" t="str">
        <f>HYPERLINK("https://maps.google.com/?q=17.22039435,-98.191666620000007", "🔗 Ver Mapa")</f>
        <v>🔗 Ver Mapa</v>
      </c>
    </row>
    <row r="651" spans="1:12" ht="43.5" x14ac:dyDescent="0.35">
      <c r="A651" s="5" t="s">
        <v>8</v>
      </c>
      <c r="B651" s="5" t="s">
        <v>16</v>
      </c>
      <c r="C651" s="5" t="s">
        <v>171</v>
      </c>
      <c r="D651" s="5" t="s">
        <v>35</v>
      </c>
      <c r="E651" s="5" t="s">
        <v>128</v>
      </c>
      <c r="F651" s="5" t="s">
        <v>166</v>
      </c>
      <c r="G651" s="5" t="s">
        <v>167</v>
      </c>
      <c r="H651" s="5" t="s">
        <v>172</v>
      </c>
      <c r="I651" s="5" t="s">
        <v>63</v>
      </c>
      <c r="J651" s="5">
        <v>17.22135785</v>
      </c>
      <c r="K651" s="5">
        <v>-98.192261340000002</v>
      </c>
      <c r="L651" s="5" t="str">
        <f>HYPERLINK("https://maps.google.com/?q=17.22135785,-98.192261340000002", "🔗 Ver Mapa")</f>
        <v>🔗 Ver Mapa</v>
      </c>
    </row>
    <row r="652" spans="1:12" ht="43.5" x14ac:dyDescent="0.35">
      <c r="A652" s="6" t="s">
        <v>8</v>
      </c>
      <c r="B652" s="6" t="s">
        <v>16</v>
      </c>
      <c r="C652" s="6" t="s">
        <v>171</v>
      </c>
      <c r="D652" s="6" t="s">
        <v>35</v>
      </c>
      <c r="E652" s="6" t="s">
        <v>128</v>
      </c>
      <c r="F652" s="6" t="s">
        <v>166</v>
      </c>
      <c r="G652" s="6" t="s">
        <v>167</v>
      </c>
      <c r="H652" s="6" t="s">
        <v>172</v>
      </c>
      <c r="I652" s="6" t="s">
        <v>63</v>
      </c>
      <c r="J652" s="6">
        <v>17.221487570000001</v>
      </c>
      <c r="K652" s="6">
        <v>-98.193088439999997</v>
      </c>
      <c r="L652" s="6" t="str">
        <f>HYPERLINK("https://maps.google.com/?q=17.22148757,-98.193088439999997", "🔗 Ver Mapa")</f>
        <v>🔗 Ver Mapa</v>
      </c>
    </row>
    <row r="653" spans="1:12" ht="43.5" x14ac:dyDescent="0.35">
      <c r="A653" s="5" t="s">
        <v>8</v>
      </c>
      <c r="B653" s="5" t="s">
        <v>16</v>
      </c>
      <c r="C653" s="5" t="s">
        <v>171</v>
      </c>
      <c r="D653" s="5" t="s">
        <v>35</v>
      </c>
      <c r="E653" s="5" t="s">
        <v>128</v>
      </c>
      <c r="F653" s="5" t="s">
        <v>166</v>
      </c>
      <c r="G653" s="5" t="s">
        <v>167</v>
      </c>
      <c r="H653" s="5" t="s">
        <v>172</v>
      </c>
      <c r="I653" s="5" t="s">
        <v>63</v>
      </c>
      <c r="J653" s="5">
        <v>17.221506089999998</v>
      </c>
      <c r="K653" s="5">
        <v>-98.192452169999996</v>
      </c>
      <c r="L653" s="5" t="str">
        <f>HYPERLINK("https://maps.google.com/?q=17.22150609,-98.192452169999996", "🔗 Ver Mapa")</f>
        <v>🔗 Ver Mapa</v>
      </c>
    </row>
    <row r="654" spans="1:12" ht="43.5" x14ac:dyDescent="0.35">
      <c r="A654" s="6" t="s">
        <v>8</v>
      </c>
      <c r="B654" s="6" t="s">
        <v>16</v>
      </c>
      <c r="C654" s="6" t="s">
        <v>171</v>
      </c>
      <c r="D654" s="6" t="s">
        <v>35</v>
      </c>
      <c r="E654" s="6" t="s">
        <v>128</v>
      </c>
      <c r="F654" s="6" t="s">
        <v>166</v>
      </c>
      <c r="G654" s="6" t="s">
        <v>167</v>
      </c>
      <c r="H654" s="6" t="s">
        <v>172</v>
      </c>
      <c r="I654" s="6" t="s">
        <v>63</v>
      </c>
      <c r="J654" s="6">
        <v>17.221684849999999</v>
      </c>
      <c r="K654" s="6">
        <v>-98.193643660000006</v>
      </c>
      <c r="L654" s="6" t="str">
        <f>HYPERLINK("https://maps.google.com/?q=17.22168485,-98.193643660000006", "🔗 Ver Mapa")</f>
        <v>🔗 Ver Mapa</v>
      </c>
    </row>
    <row r="655" spans="1:12" ht="43.5" x14ac:dyDescent="0.35">
      <c r="A655" s="5" t="s">
        <v>8</v>
      </c>
      <c r="B655" s="5" t="s">
        <v>16</v>
      </c>
      <c r="C655" s="5" t="s">
        <v>171</v>
      </c>
      <c r="D655" s="5" t="s">
        <v>35</v>
      </c>
      <c r="E655" s="5" t="s">
        <v>128</v>
      </c>
      <c r="F655" s="5" t="s">
        <v>166</v>
      </c>
      <c r="G655" s="5" t="s">
        <v>167</v>
      </c>
      <c r="H655" s="5" t="s">
        <v>172</v>
      </c>
      <c r="I655" s="5" t="s">
        <v>63</v>
      </c>
      <c r="J655" s="5">
        <v>17.221725840000001</v>
      </c>
      <c r="K655" s="5">
        <v>-98.194442960000003</v>
      </c>
      <c r="L655" s="5" t="str">
        <f>HYPERLINK("https://maps.google.com/?q=17.22172584,-98.194442960000003", "🔗 Ver Mapa")</f>
        <v>🔗 Ver Mapa</v>
      </c>
    </row>
    <row r="656" spans="1:12" ht="43.5" x14ac:dyDescent="0.35">
      <c r="A656" s="6" t="s">
        <v>8</v>
      </c>
      <c r="B656" s="6" t="s">
        <v>16</v>
      </c>
      <c r="C656" s="6" t="s">
        <v>171</v>
      </c>
      <c r="D656" s="6" t="s">
        <v>35</v>
      </c>
      <c r="E656" s="6" t="s">
        <v>128</v>
      </c>
      <c r="F656" s="6" t="s">
        <v>166</v>
      </c>
      <c r="G656" s="6" t="s">
        <v>167</v>
      </c>
      <c r="H656" s="6" t="s">
        <v>172</v>
      </c>
      <c r="I656" s="6" t="s">
        <v>63</v>
      </c>
      <c r="J656" s="6">
        <v>17.221823189999999</v>
      </c>
      <c r="K656" s="6">
        <v>-98.193915899999993</v>
      </c>
      <c r="L656" s="6" t="str">
        <f>HYPERLINK("https://maps.google.com/?q=17.22182319,-98.193915899999993", "🔗 Ver Mapa")</f>
        <v>🔗 Ver Mapa</v>
      </c>
    </row>
    <row r="657" spans="1:12" ht="43.5" x14ac:dyDescent="0.35">
      <c r="A657" s="5" t="s">
        <v>8</v>
      </c>
      <c r="B657" s="5" t="s">
        <v>16</v>
      </c>
      <c r="C657" s="5" t="s">
        <v>171</v>
      </c>
      <c r="D657" s="5" t="s">
        <v>35</v>
      </c>
      <c r="E657" s="5" t="s">
        <v>128</v>
      </c>
      <c r="F657" s="5" t="s">
        <v>166</v>
      </c>
      <c r="G657" s="5" t="s">
        <v>167</v>
      </c>
      <c r="H657" s="5" t="s">
        <v>172</v>
      </c>
      <c r="I657" s="5" t="s">
        <v>63</v>
      </c>
      <c r="J657" s="5">
        <v>17.221853930000002</v>
      </c>
      <c r="K657" s="5">
        <v>-98.193632930000007</v>
      </c>
      <c r="L657" s="5" t="str">
        <f>HYPERLINK("https://maps.google.com/?q=17.22185393,-98.193632930000007", "🔗 Ver Mapa")</f>
        <v>🔗 Ver Mapa</v>
      </c>
    </row>
    <row r="658" spans="1:12" ht="43.5" x14ac:dyDescent="0.35">
      <c r="A658" s="6" t="s">
        <v>8</v>
      </c>
      <c r="B658" s="6" t="s">
        <v>16</v>
      </c>
      <c r="C658" s="6" t="s">
        <v>171</v>
      </c>
      <c r="D658" s="6" t="s">
        <v>35</v>
      </c>
      <c r="E658" s="6" t="s">
        <v>128</v>
      </c>
      <c r="F658" s="6" t="s">
        <v>166</v>
      </c>
      <c r="G658" s="6" t="s">
        <v>167</v>
      </c>
      <c r="H658" s="6" t="s">
        <v>172</v>
      </c>
      <c r="I658" s="6" t="s">
        <v>63</v>
      </c>
      <c r="J658" s="6">
        <v>17.221926409999998</v>
      </c>
      <c r="K658" s="6">
        <v>-98.19351734</v>
      </c>
      <c r="L658" s="6" t="str">
        <f>HYPERLINK("https://maps.google.com/?q=17.22192641,-98.19351734", "🔗 Ver Mapa")</f>
        <v>🔗 Ver Mapa</v>
      </c>
    </row>
    <row r="659" spans="1:12" ht="43.5" x14ac:dyDescent="0.35">
      <c r="A659" s="5" t="s">
        <v>8</v>
      </c>
      <c r="B659" s="5" t="s">
        <v>16</v>
      </c>
      <c r="C659" s="5" t="s">
        <v>171</v>
      </c>
      <c r="D659" s="5" t="s">
        <v>35</v>
      </c>
      <c r="E659" s="5" t="s">
        <v>128</v>
      </c>
      <c r="F659" s="5" t="s">
        <v>166</v>
      </c>
      <c r="G659" s="5" t="s">
        <v>167</v>
      </c>
      <c r="H659" s="5" t="s">
        <v>172</v>
      </c>
      <c r="I659" s="5" t="s">
        <v>63</v>
      </c>
      <c r="J659" s="5">
        <v>17.222109589999999</v>
      </c>
      <c r="K659" s="5">
        <v>-98.192494080000003</v>
      </c>
      <c r="L659" s="5" t="str">
        <f>HYPERLINK("https://maps.google.com/?q=17.22210959,-98.192494080000003", "🔗 Ver Mapa")</f>
        <v>🔗 Ver Mapa</v>
      </c>
    </row>
    <row r="660" spans="1:12" ht="43.5" x14ac:dyDescent="0.35">
      <c r="A660" s="6" t="s">
        <v>8</v>
      </c>
      <c r="B660" s="6" t="s">
        <v>16</v>
      </c>
      <c r="C660" s="6" t="s">
        <v>171</v>
      </c>
      <c r="D660" s="6" t="s">
        <v>35</v>
      </c>
      <c r="E660" s="6" t="s">
        <v>128</v>
      </c>
      <c r="F660" s="6" t="s">
        <v>166</v>
      </c>
      <c r="G660" s="6" t="s">
        <v>167</v>
      </c>
      <c r="H660" s="6" t="s">
        <v>172</v>
      </c>
      <c r="I660" s="6" t="s">
        <v>63</v>
      </c>
      <c r="J660" s="6">
        <v>17.222115989999999</v>
      </c>
      <c r="K660" s="6">
        <v>-98.193603170000003</v>
      </c>
      <c r="L660" s="6" t="str">
        <f>HYPERLINK("https://maps.google.com/?q=17.22211599,-98.193603170000003", "🔗 Ver Mapa")</f>
        <v>🔗 Ver Mapa</v>
      </c>
    </row>
    <row r="661" spans="1:12" ht="43.5" x14ac:dyDescent="0.35">
      <c r="A661" s="5" t="s">
        <v>8</v>
      </c>
      <c r="B661" s="5" t="s">
        <v>16</v>
      </c>
      <c r="C661" s="5" t="s">
        <v>171</v>
      </c>
      <c r="D661" s="5" t="s">
        <v>35</v>
      </c>
      <c r="E661" s="5" t="s">
        <v>128</v>
      </c>
      <c r="F661" s="5" t="s">
        <v>166</v>
      </c>
      <c r="G661" s="5" t="s">
        <v>167</v>
      </c>
      <c r="H661" s="5" t="s">
        <v>172</v>
      </c>
      <c r="I661" s="5" t="s">
        <v>63</v>
      </c>
      <c r="J661" s="5">
        <v>17.222192849999999</v>
      </c>
      <c r="K661" s="5">
        <v>-98.193273259999998</v>
      </c>
      <c r="L661" s="5" t="str">
        <f>HYPERLINK("https://maps.google.com/?q=17.22219285,-98.193273259999998", "🔗 Ver Mapa")</f>
        <v>🔗 Ver Mapa</v>
      </c>
    </row>
    <row r="662" spans="1:12" ht="43.5" x14ac:dyDescent="0.35">
      <c r="A662" s="6" t="s">
        <v>8</v>
      </c>
      <c r="B662" s="6" t="s">
        <v>16</v>
      </c>
      <c r="C662" s="6" t="s">
        <v>171</v>
      </c>
      <c r="D662" s="6" t="s">
        <v>35</v>
      </c>
      <c r="E662" s="6" t="s">
        <v>128</v>
      </c>
      <c r="F662" s="6" t="s">
        <v>166</v>
      </c>
      <c r="G662" s="6" t="s">
        <v>167</v>
      </c>
      <c r="H662" s="6" t="s">
        <v>172</v>
      </c>
      <c r="I662" s="6" t="s">
        <v>63</v>
      </c>
      <c r="J662" s="6">
        <v>17.22226315</v>
      </c>
      <c r="K662" s="6">
        <v>-98.192503130000006</v>
      </c>
      <c r="L662" s="6" t="str">
        <f>HYPERLINK("https://maps.google.com/?q=17.22226315,-98.192503130000006", "🔗 Ver Mapa")</f>
        <v>🔗 Ver Mapa</v>
      </c>
    </row>
    <row r="663" spans="1:12" ht="43.5" x14ac:dyDescent="0.35">
      <c r="A663" s="5" t="s">
        <v>8</v>
      </c>
      <c r="B663" s="5" t="s">
        <v>16</v>
      </c>
      <c r="C663" s="5" t="s">
        <v>171</v>
      </c>
      <c r="D663" s="5" t="s">
        <v>35</v>
      </c>
      <c r="E663" s="5" t="s">
        <v>128</v>
      </c>
      <c r="F663" s="5" t="s">
        <v>166</v>
      </c>
      <c r="G663" s="5" t="s">
        <v>167</v>
      </c>
      <c r="H663" s="5" t="s">
        <v>172</v>
      </c>
      <c r="I663" s="5" t="s">
        <v>63</v>
      </c>
      <c r="J663" s="5">
        <v>17.22226843</v>
      </c>
      <c r="K663" s="5">
        <v>-98.193809700000003</v>
      </c>
      <c r="L663" s="5" t="str">
        <f>HYPERLINK("https://maps.google.com/?q=17.22226843,-98.193809700000003", "🔗 Ver Mapa")</f>
        <v>🔗 Ver Mapa</v>
      </c>
    </row>
    <row r="664" spans="1:12" ht="43.5" x14ac:dyDescent="0.35">
      <c r="A664" s="6" t="s">
        <v>8</v>
      </c>
      <c r="B664" s="6" t="s">
        <v>16</v>
      </c>
      <c r="C664" s="6" t="s">
        <v>171</v>
      </c>
      <c r="D664" s="6" t="s">
        <v>35</v>
      </c>
      <c r="E664" s="6" t="s">
        <v>128</v>
      </c>
      <c r="F664" s="6" t="s">
        <v>166</v>
      </c>
      <c r="G664" s="6" t="s">
        <v>167</v>
      </c>
      <c r="H664" s="6" t="s">
        <v>172</v>
      </c>
      <c r="I664" s="6" t="s">
        <v>63</v>
      </c>
      <c r="J664" s="6">
        <v>17.222507969999999</v>
      </c>
      <c r="K664" s="6">
        <v>-98.192541019999993</v>
      </c>
      <c r="L664" s="6" t="str">
        <f>HYPERLINK("https://maps.google.com/?q=17.22250797,-98.192541019999993", "🔗 Ver Mapa")</f>
        <v>🔗 Ver Mapa</v>
      </c>
    </row>
    <row r="665" spans="1:12" ht="43.5" x14ac:dyDescent="0.35">
      <c r="A665" s="5" t="s">
        <v>8</v>
      </c>
      <c r="B665" s="5" t="s">
        <v>16</v>
      </c>
      <c r="C665" s="5" t="s">
        <v>171</v>
      </c>
      <c r="D665" s="5" t="s">
        <v>35</v>
      </c>
      <c r="E665" s="5" t="s">
        <v>128</v>
      </c>
      <c r="F665" s="5" t="s">
        <v>166</v>
      </c>
      <c r="G665" s="5" t="s">
        <v>167</v>
      </c>
      <c r="H665" s="5" t="s">
        <v>172</v>
      </c>
      <c r="I665" s="5" t="s">
        <v>63</v>
      </c>
      <c r="J665" s="5">
        <v>17.222558469999999</v>
      </c>
      <c r="K665" s="5">
        <v>-98.192307920000005</v>
      </c>
      <c r="L665" s="5" t="str">
        <f>HYPERLINK("https://maps.google.com/?q=17.22255847,-98.192307920000005", "🔗 Ver Mapa")</f>
        <v>🔗 Ver Mapa</v>
      </c>
    </row>
    <row r="666" spans="1:12" ht="43.5" x14ac:dyDescent="0.35">
      <c r="A666" s="6" t="s">
        <v>8</v>
      </c>
      <c r="B666" s="6" t="s">
        <v>16</v>
      </c>
      <c r="C666" s="6" t="s">
        <v>173</v>
      </c>
      <c r="D666" s="6" t="s">
        <v>35</v>
      </c>
      <c r="E666" s="6" t="s">
        <v>128</v>
      </c>
      <c r="F666" s="6" t="s">
        <v>166</v>
      </c>
      <c r="G666" s="6" t="s">
        <v>167</v>
      </c>
      <c r="H666" s="6" t="s">
        <v>174</v>
      </c>
      <c r="I666" s="6" t="s">
        <v>63</v>
      </c>
      <c r="J666" s="6">
        <v>17.256032918846</v>
      </c>
      <c r="K666" s="6">
        <v>-98.260749759247005</v>
      </c>
      <c r="L666" s="6" t="str">
        <f>HYPERLINK("https://maps.google.com/?q=17.2560329188462,-98.260749759247403", "🔗 Ver Mapa")</f>
        <v>🔗 Ver Mapa</v>
      </c>
    </row>
    <row r="667" spans="1:12" ht="43.5" x14ac:dyDescent="0.35">
      <c r="A667" s="5" t="s">
        <v>8</v>
      </c>
      <c r="B667" s="5" t="s">
        <v>16</v>
      </c>
      <c r="C667" s="5" t="s">
        <v>173</v>
      </c>
      <c r="D667" s="5" t="s">
        <v>35</v>
      </c>
      <c r="E667" s="5" t="s">
        <v>128</v>
      </c>
      <c r="F667" s="5" t="s">
        <v>166</v>
      </c>
      <c r="G667" s="5" t="s">
        <v>167</v>
      </c>
      <c r="H667" s="5" t="s">
        <v>174</v>
      </c>
      <c r="I667" s="5" t="s">
        <v>63</v>
      </c>
      <c r="J667" s="5">
        <v>17.256100557623999</v>
      </c>
      <c r="K667" s="5">
        <v>-98.260588733625994</v>
      </c>
      <c r="L667" s="5" t="str">
        <f>HYPERLINK("https://maps.google.com/?q=17.2561005576242,-98.260588733625596", "🔗 Ver Mapa")</f>
        <v>🔗 Ver Mapa</v>
      </c>
    </row>
    <row r="668" spans="1:12" ht="43.5" x14ac:dyDescent="0.35">
      <c r="A668" s="6" t="s">
        <v>8</v>
      </c>
      <c r="B668" s="6" t="s">
        <v>16</v>
      </c>
      <c r="C668" s="6" t="s">
        <v>173</v>
      </c>
      <c r="D668" s="6" t="s">
        <v>35</v>
      </c>
      <c r="E668" s="6" t="s">
        <v>128</v>
      </c>
      <c r="F668" s="6" t="s">
        <v>166</v>
      </c>
      <c r="G668" s="6" t="s">
        <v>167</v>
      </c>
      <c r="H668" s="6" t="s">
        <v>174</v>
      </c>
      <c r="I668" s="6" t="s">
        <v>63</v>
      </c>
      <c r="J668" s="6">
        <v>17.256173485083</v>
      </c>
      <c r="K668" s="6">
        <v>-98.264803130475997</v>
      </c>
      <c r="L668" s="6" t="str">
        <f>HYPERLINK("https://maps.google.com/?q=17.2561734850831,-98.264803130475599", "🔗 Ver Mapa")</f>
        <v>🔗 Ver Mapa</v>
      </c>
    </row>
    <row r="669" spans="1:12" ht="43.5" x14ac:dyDescent="0.35">
      <c r="A669" s="5" t="s">
        <v>8</v>
      </c>
      <c r="B669" s="5" t="s">
        <v>16</v>
      </c>
      <c r="C669" s="5" t="s">
        <v>173</v>
      </c>
      <c r="D669" s="5" t="s">
        <v>35</v>
      </c>
      <c r="E669" s="5" t="s">
        <v>128</v>
      </c>
      <c r="F669" s="5" t="s">
        <v>166</v>
      </c>
      <c r="G669" s="5" t="s">
        <v>167</v>
      </c>
      <c r="H669" s="5" t="s">
        <v>174</v>
      </c>
      <c r="I669" s="5" t="s">
        <v>63</v>
      </c>
      <c r="J669" s="5">
        <v>17.256225283449002</v>
      </c>
      <c r="K669" s="5">
        <v>-98.264307341104001</v>
      </c>
      <c r="L669" s="5" t="str">
        <f>HYPERLINK("https://maps.google.com/?q=17.2562252834491,-98.264307341104498", "🔗 Ver Mapa")</f>
        <v>🔗 Ver Mapa</v>
      </c>
    </row>
    <row r="670" spans="1:12" ht="43.5" x14ac:dyDescent="0.35">
      <c r="A670" s="6" t="s">
        <v>8</v>
      </c>
      <c r="B670" s="6" t="s">
        <v>16</v>
      </c>
      <c r="C670" s="6" t="s">
        <v>173</v>
      </c>
      <c r="D670" s="6" t="s">
        <v>35</v>
      </c>
      <c r="E670" s="6" t="s">
        <v>128</v>
      </c>
      <c r="F670" s="6" t="s">
        <v>166</v>
      </c>
      <c r="G670" s="6" t="s">
        <v>167</v>
      </c>
      <c r="H670" s="6" t="s">
        <v>174</v>
      </c>
      <c r="I670" s="6" t="s">
        <v>63</v>
      </c>
      <c r="J670" s="6">
        <v>17.256286564187</v>
      </c>
      <c r="K670" s="6">
        <v>-98.260489000000007</v>
      </c>
      <c r="L670" s="6" t="str">
        <f>HYPERLINK("https://maps.google.com/?q=17.2562865641866,-98.260489000000007", "🔗 Ver Mapa")</f>
        <v>🔗 Ver Mapa</v>
      </c>
    </row>
    <row r="671" spans="1:12" ht="43.5" x14ac:dyDescent="0.35">
      <c r="A671" s="5" t="s">
        <v>8</v>
      </c>
      <c r="B671" s="5" t="s">
        <v>16</v>
      </c>
      <c r="C671" s="5" t="s">
        <v>173</v>
      </c>
      <c r="D671" s="5" t="s">
        <v>35</v>
      </c>
      <c r="E671" s="5" t="s">
        <v>128</v>
      </c>
      <c r="F671" s="5" t="s">
        <v>166</v>
      </c>
      <c r="G671" s="5" t="s">
        <v>167</v>
      </c>
      <c r="H671" s="5" t="s">
        <v>174</v>
      </c>
      <c r="I671" s="5" t="s">
        <v>63</v>
      </c>
      <c r="J671" s="5">
        <v>17.256338721972998</v>
      </c>
      <c r="K671" s="5">
        <v>-98.264962999999995</v>
      </c>
      <c r="L671" s="5" t="str">
        <f>HYPERLINK("https://maps.google.com/?q=17.2563387219732,-98.264962999999995", "🔗 Ver Mapa")</f>
        <v>🔗 Ver Mapa</v>
      </c>
    </row>
    <row r="672" spans="1:12" ht="43.5" x14ac:dyDescent="0.35">
      <c r="A672" s="6" t="s">
        <v>8</v>
      </c>
      <c r="B672" s="6" t="s">
        <v>16</v>
      </c>
      <c r="C672" s="6" t="s">
        <v>173</v>
      </c>
      <c r="D672" s="6" t="s">
        <v>35</v>
      </c>
      <c r="E672" s="6" t="s">
        <v>128</v>
      </c>
      <c r="F672" s="6" t="s">
        <v>166</v>
      </c>
      <c r="G672" s="6" t="s">
        <v>167</v>
      </c>
      <c r="H672" s="6" t="s">
        <v>174</v>
      </c>
      <c r="I672" s="6" t="s">
        <v>63</v>
      </c>
      <c r="J672" s="6">
        <v>17.256382002711</v>
      </c>
      <c r="K672" s="6">
        <v>-98.263515999999996</v>
      </c>
      <c r="L672" s="6" t="str">
        <f>HYPERLINK("https://maps.google.com/?q=17.2563820027108,-98.263515999999996", "🔗 Ver Mapa")</f>
        <v>🔗 Ver Mapa</v>
      </c>
    </row>
    <row r="673" spans="1:12" ht="43.5" x14ac:dyDescent="0.35">
      <c r="A673" s="5" t="s">
        <v>8</v>
      </c>
      <c r="B673" s="5" t="s">
        <v>16</v>
      </c>
      <c r="C673" s="5" t="s">
        <v>173</v>
      </c>
      <c r="D673" s="5" t="s">
        <v>35</v>
      </c>
      <c r="E673" s="5" t="s">
        <v>128</v>
      </c>
      <c r="F673" s="5" t="s">
        <v>166</v>
      </c>
      <c r="G673" s="5" t="s">
        <v>167</v>
      </c>
      <c r="H673" s="5" t="s">
        <v>174</v>
      </c>
      <c r="I673" s="5" t="s">
        <v>63</v>
      </c>
      <c r="J673" s="5">
        <v>17.256420283448001</v>
      </c>
      <c r="K673" s="5">
        <v>-98.260509658895998</v>
      </c>
      <c r="L673" s="5" t="str">
        <f>HYPERLINK("https://maps.google.com/?q=17.2564202834477,-98.260509658895501", "🔗 Ver Mapa")</f>
        <v>🔗 Ver Mapa</v>
      </c>
    </row>
    <row r="674" spans="1:12" ht="43.5" x14ac:dyDescent="0.35">
      <c r="A674" s="6" t="s">
        <v>8</v>
      </c>
      <c r="B674" s="6" t="s">
        <v>16</v>
      </c>
      <c r="C674" s="6" t="s">
        <v>173</v>
      </c>
      <c r="D674" s="6" t="s">
        <v>35</v>
      </c>
      <c r="E674" s="6" t="s">
        <v>128</v>
      </c>
      <c r="F674" s="6" t="s">
        <v>166</v>
      </c>
      <c r="G674" s="6" t="s">
        <v>167</v>
      </c>
      <c r="H674" s="6" t="s">
        <v>174</v>
      </c>
      <c r="I674" s="6" t="s">
        <v>63</v>
      </c>
      <c r="J674" s="6">
        <v>17.256484933191999</v>
      </c>
      <c r="K674" s="6">
        <v>-98.263273711253007</v>
      </c>
      <c r="L674" s="6" t="str">
        <f>HYPERLINK("https://maps.google.com/?q=17.2564849331916,-98.263273711252594", "🔗 Ver Mapa")</f>
        <v>🔗 Ver Mapa</v>
      </c>
    </row>
    <row r="675" spans="1:12" ht="43.5" x14ac:dyDescent="0.35">
      <c r="A675" s="5" t="s">
        <v>8</v>
      </c>
      <c r="B675" s="5" t="s">
        <v>16</v>
      </c>
      <c r="C675" s="5" t="s">
        <v>173</v>
      </c>
      <c r="D675" s="5" t="s">
        <v>35</v>
      </c>
      <c r="E675" s="5" t="s">
        <v>128</v>
      </c>
      <c r="F675" s="5" t="s">
        <v>166</v>
      </c>
      <c r="G675" s="5" t="s">
        <v>167</v>
      </c>
      <c r="H675" s="5" t="s">
        <v>174</v>
      </c>
      <c r="I675" s="5" t="s">
        <v>63</v>
      </c>
      <c r="J675" s="5">
        <v>17.256765125649</v>
      </c>
      <c r="K675" s="5">
        <v>-98.260878658896004</v>
      </c>
      <c r="L675" s="5" t="str">
        <f>HYPERLINK("https://maps.google.com/?q=17.2567651256492,-98.260878658895507", "🔗 Ver Mapa")</f>
        <v>🔗 Ver Mapa</v>
      </c>
    </row>
    <row r="676" spans="1:12" ht="43.5" x14ac:dyDescent="0.35">
      <c r="A676" s="6" t="s">
        <v>8</v>
      </c>
      <c r="B676" s="6" t="s">
        <v>16</v>
      </c>
      <c r="C676" s="6" t="s">
        <v>173</v>
      </c>
      <c r="D676" s="6" t="s">
        <v>35</v>
      </c>
      <c r="E676" s="6" t="s">
        <v>128</v>
      </c>
      <c r="F676" s="6" t="s">
        <v>166</v>
      </c>
      <c r="G676" s="6" t="s">
        <v>167</v>
      </c>
      <c r="H676" s="6" t="s">
        <v>174</v>
      </c>
      <c r="I676" s="6" t="s">
        <v>63</v>
      </c>
      <c r="J676" s="6">
        <v>17.256797825143</v>
      </c>
      <c r="K676" s="6">
        <v>-98.259640523697001</v>
      </c>
      <c r="L676" s="6" t="str">
        <f>HYPERLINK("https://maps.google.com/?q=17.2567978251426,-98.2596405236972", "🔗 Ver Mapa")</f>
        <v>🔗 Ver Mapa</v>
      </c>
    </row>
    <row r="677" spans="1:12" ht="43.5" x14ac:dyDescent="0.35">
      <c r="A677" s="5" t="s">
        <v>8</v>
      </c>
      <c r="B677" s="5" t="s">
        <v>16</v>
      </c>
      <c r="C677" s="5" t="s">
        <v>173</v>
      </c>
      <c r="D677" s="5" t="s">
        <v>35</v>
      </c>
      <c r="E677" s="5" t="s">
        <v>128</v>
      </c>
      <c r="F677" s="5" t="s">
        <v>166</v>
      </c>
      <c r="G677" s="5" t="s">
        <v>167</v>
      </c>
      <c r="H677" s="5" t="s">
        <v>174</v>
      </c>
      <c r="I677" s="5" t="s">
        <v>63</v>
      </c>
      <c r="J677" s="5">
        <v>17.256829564179</v>
      </c>
      <c r="K677" s="5">
        <v>-98.260084398364</v>
      </c>
      <c r="L677" s="5" t="str">
        <f>HYPERLINK("https://maps.google.com/?q=17.2568295641791,-98.260084398364", "🔗 Ver Mapa")</f>
        <v>🔗 Ver Mapa</v>
      </c>
    </row>
    <row r="678" spans="1:12" ht="43.5" x14ac:dyDescent="0.35">
      <c r="A678" s="6" t="s">
        <v>8</v>
      </c>
      <c r="B678" s="6" t="s">
        <v>16</v>
      </c>
      <c r="C678" s="6" t="s">
        <v>173</v>
      </c>
      <c r="D678" s="6" t="s">
        <v>35</v>
      </c>
      <c r="E678" s="6" t="s">
        <v>128</v>
      </c>
      <c r="F678" s="6" t="s">
        <v>166</v>
      </c>
      <c r="G678" s="6" t="s">
        <v>167</v>
      </c>
      <c r="H678" s="6" t="s">
        <v>174</v>
      </c>
      <c r="I678" s="6" t="s">
        <v>63</v>
      </c>
      <c r="J678" s="6">
        <v>17.256836362344</v>
      </c>
      <c r="K678" s="6">
        <v>-98.26079</v>
      </c>
      <c r="L678" s="6" t="str">
        <f>HYPERLINK("https://maps.google.com/?q=17.2568363623438,-98.26079", "🔗 Ver Mapa")</f>
        <v>🔗 Ver Mapa</v>
      </c>
    </row>
    <row r="679" spans="1:12" ht="43.5" x14ac:dyDescent="0.35">
      <c r="A679" s="5" t="s">
        <v>8</v>
      </c>
      <c r="B679" s="5" t="s">
        <v>16</v>
      </c>
      <c r="C679" s="5" t="s">
        <v>173</v>
      </c>
      <c r="D679" s="5" t="s">
        <v>35</v>
      </c>
      <c r="E679" s="5" t="s">
        <v>128</v>
      </c>
      <c r="F679" s="5" t="s">
        <v>166</v>
      </c>
      <c r="G679" s="5" t="s">
        <v>167</v>
      </c>
      <c r="H679" s="5" t="s">
        <v>174</v>
      </c>
      <c r="I679" s="5" t="s">
        <v>63</v>
      </c>
      <c r="J679" s="5">
        <v>17.25686982158</v>
      </c>
      <c r="K679" s="5">
        <v>-98.260167677246002</v>
      </c>
      <c r="L679" s="5" t="str">
        <f>HYPERLINK("https://maps.google.com/?q=17.25686982158,-98.260167677246201", "🔗 Ver Mapa")</f>
        <v>🔗 Ver Mapa</v>
      </c>
    </row>
    <row r="680" spans="1:12" ht="43.5" x14ac:dyDescent="0.35">
      <c r="A680" s="6" t="s">
        <v>8</v>
      </c>
      <c r="B680" s="6" t="s">
        <v>16</v>
      </c>
      <c r="C680" s="6" t="s">
        <v>173</v>
      </c>
      <c r="D680" s="6" t="s">
        <v>35</v>
      </c>
      <c r="E680" s="6" t="s">
        <v>128</v>
      </c>
      <c r="F680" s="6" t="s">
        <v>166</v>
      </c>
      <c r="G680" s="6" t="s">
        <v>167</v>
      </c>
      <c r="H680" s="6" t="s">
        <v>174</v>
      </c>
      <c r="I680" s="6" t="s">
        <v>63</v>
      </c>
      <c r="J680" s="6">
        <v>17.256892283445001</v>
      </c>
      <c r="K680" s="6">
        <v>-98.262548341105003</v>
      </c>
      <c r="L680" s="6" t="str">
        <f>HYPERLINK("https://maps.google.com/?q=17.2568922834446,-98.262548341104505", "🔗 Ver Mapa")</f>
        <v>🔗 Ver Mapa</v>
      </c>
    </row>
    <row r="681" spans="1:12" ht="43.5" x14ac:dyDescent="0.35">
      <c r="A681" s="5" t="s">
        <v>8</v>
      </c>
      <c r="B681" s="5" t="s">
        <v>16</v>
      </c>
      <c r="C681" s="5" t="s">
        <v>173</v>
      </c>
      <c r="D681" s="5" t="s">
        <v>35</v>
      </c>
      <c r="E681" s="5" t="s">
        <v>128</v>
      </c>
      <c r="F681" s="5" t="s">
        <v>166</v>
      </c>
      <c r="G681" s="5" t="s">
        <v>167</v>
      </c>
      <c r="H681" s="5" t="s">
        <v>174</v>
      </c>
      <c r="I681" s="5" t="s">
        <v>63</v>
      </c>
      <c r="J681" s="5">
        <v>17.256931283444001</v>
      </c>
      <c r="K681" s="5">
        <v>-98.256616341105001</v>
      </c>
      <c r="L681" s="5" t="str">
        <f>HYPERLINK("https://maps.google.com/?q=17.2569312834443,-98.256616341104504", "🔗 Ver Mapa")</f>
        <v>🔗 Ver Mapa</v>
      </c>
    </row>
    <row r="682" spans="1:12" ht="43.5" x14ac:dyDescent="0.35">
      <c r="A682" s="6" t="s">
        <v>8</v>
      </c>
      <c r="B682" s="6" t="s">
        <v>16</v>
      </c>
      <c r="C682" s="6" t="s">
        <v>173</v>
      </c>
      <c r="D682" s="6" t="s">
        <v>35</v>
      </c>
      <c r="E682" s="6" t="s">
        <v>128</v>
      </c>
      <c r="F682" s="6" t="s">
        <v>166</v>
      </c>
      <c r="G682" s="6" t="s">
        <v>167</v>
      </c>
      <c r="H682" s="6" t="s">
        <v>174</v>
      </c>
      <c r="I682" s="6" t="s">
        <v>63</v>
      </c>
      <c r="J682" s="6">
        <v>17.256942617299</v>
      </c>
      <c r="K682" s="6">
        <v>-98.262939316054997</v>
      </c>
      <c r="L682" s="6" t="str">
        <f>HYPERLINK("https://maps.google.com/?q=17.2569426172986,-98.262939316054997", "🔗 Ver Mapa")</f>
        <v>🔗 Ver Mapa</v>
      </c>
    </row>
    <row r="683" spans="1:12" ht="43.5" x14ac:dyDescent="0.35">
      <c r="A683" s="5" t="s">
        <v>8</v>
      </c>
      <c r="B683" s="5" t="s">
        <v>16</v>
      </c>
      <c r="C683" s="5" t="s">
        <v>173</v>
      </c>
      <c r="D683" s="5" t="s">
        <v>35</v>
      </c>
      <c r="E683" s="5" t="s">
        <v>128</v>
      </c>
      <c r="F683" s="5" t="s">
        <v>166</v>
      </c>
      <c r="G683" s="5" t="s">
        <v>167</v>
      </c>
      <c r="H683" s="5" t="s">
        <v>174</v>
      </c>
      <c r="I683" s="5" t="s">
        <v>63</v>
      </c>
      <c r="J683" s="5">
        <v>17.256971125642998</v>
      </c>
      <c r="K683" s="5">
        <v>-98.259451682209004</v>
      </c>
      <c r="L683" s="5" t="str">
        <f>HYPERLINK("https://maps.google.com/?q=17.2569711256435,-98.259451682209004", "🔗 Ver Mapa")</f>
        <v>🔗 Ver Mapa</v>
      </c>
    </row>
    <row r="684" spans="1:12" ht="43.5" x14ac:dyDescent="0.35">
      <c r="A684" s="6" t="s">
        <v>8</v>
      </c>
      <c r="B684" s="6" t="s">
        <v>16</v>
      </c>
      <c r="C684" s="6" t="s">
        <v>173</v>
      </c>
      <c r="D684" s="6" t="s">
        <v>35</v>
      </c>
      <c r="E684" s="6" t="s">
        <v>128</v>
      </c>
      <c r="F684" s="6" t="s">
        <v>166</v>
      </c>
      <c r="G684" s="6" t="s">
        <v>167</v>
      </c>
      <c r="H684" s="6" t="s">
        <v>174</v>
      </c>
      <c r="I684" s="6" t="s">
        <v>63</v>
      </c>
      <c r="J684" s="6">
        <v>17.257111721979001</v>
      </c>
      <c r="K684" s="6">
        <v>-98.259155658894997</v>
      </c>
      <c r="L684" s="6" t="str">
        <f>HYPERLINK("https://maps.google.com/?q=17.2571117219787,-98.259155658895494", "🔗 Ver Mapa")</f>
        <v>🔗 Ver Mapa</v>
      </c>
    </row>
    <row r="685" spans="1:12" ht="43.5" x14ac:dyDescent="0.35">
      <c r="A685" s="5" t="s">
        <v>8</v>
      </c>
      <c r="B685" s="5" t="s">
        <v>16</v>
      </c>
      <c r="C685" s="5" t="s">
        <v>173</v>
      </c>
      <c r="D685" s="5" t="s">
        <v>35</v>
      </c>
      <c r="E685" s="5" t="s">
        <v>128</v>
      </c>
      <c r="F685" s="5" t="s">
        <v>166</v>
      </c>
      <c r="G685" s="5" t="s">
        <v>167</v>
      </c>
      <c r="H685" s="5" t="s">
        <v>174</v>
      </c>
      <c r="I685" s="5" t="s">
        <v>63</v>
      </c>
      <c r="J685" s="5">
        <v>17.257208844905001</v>
      </c>
      <c r="K685" s="5">
        <v>-98.261387658895998</v>
      </c>
      <c r="L685" s="5" t="str">
        <f>HYPERLINK("https://maps.google.com/?q=17.2572088449054,-98.261387658895501", "🔗 Ver Mapa")</f>
        <v>🔗 Ver Mapa</v>
      </c>
    </row>
    <row r="686" spans="1:12" ht="43.5" x14ac:dyDescent="0.35">
      <c r="A686" s="6" t="s">
        <v>8</v>
      </c>
      <c r="B686" s="6" t="s">
        <v>16</v>
      </c>
      <c r="C686" s="6" t="s">
        <v>173</v>
      </c>
      <c r="D686" s="6" t="s">
        <v>35</v>
      </c>
      <c r="E686" s="6" t="s">
        <v>128</v>
      </c>
      <c r="F686" s="6" t="s">
        <v>166</v>
      </c>
      <c r="G686" s="6" t="s">
        <v>167</v>
      </c>
      <c r="H686" s="6" t="s">
        <v>174</v>
      </c>
      <c r="I686" s="6" t="s">
        <v>63</v>
      </c>
      <c r="J686" s="6">
        <v>17.257343979611001</v>
      </c>
      <c r="K686" s="6">
        <v>-98.259241014023004</v>
      </c>
      <c r="L686" s="6" t="str">
        <f>HYPERLINK("https://maps.google.com/?q=17.2573439796113,-98.259241014022606", "🔗 Ver Mapa")</f>
        <v>🔗 Ver Mapa</v>
      </c>
    </row>
    <row r="687" spans="1:12" ht="43.5" x14ac:dyDescent="0.35">
      <c r="A687" s="5" t="s">
        <v>8</v>
      </c>
      <c r="B687" s="5" t="s">
        <v>16</v>
      </c>
      <c r="C687" s="5" t="s">
        <v>173</v>
      </c>
      <c r="D687" s="5" t="s">
        <v>35</v>
      </c>
      <c r="E687" s="5" t="s">
        <v>128</v>
      </c>
      <c r="F687" s="5" t="s">
        <v>166</v>
      </c>
      <c r="G687" s="5" t="s">
        <v>167</v>
      </c>
      <c r="H687" s="5" t="s">
        <v>174</v>
      </c>
      <c r="I687" s="5" t="s">
        <v>63</v>
      </c>
      <c r="J687" s="5">
        <v>17.257572087673001</v>
      </c>
      <c r="K687" s="5">
        <v>-98.262666519014005</v>
      </c>
      <c r="L687" s="5" t="str">
        <f>HYPERLINK("https://maps.google.com/?q=17.257572087673,-98.262666519014402", "🔗 Ver Mapa")</f>
        <v>🔗 Ver Mapa</v>
      </c>
    </row>
    <row r="688" spans="1:12" ht="43.5" x14ac:dyDescent="0.35">
      <c r="A688" s="6" t="s">
        <v>8</v>
      </c>
      <c r="B688" s="6" t="s">
        <v>16</v>
      </c>
      <c r="C688" s="6" t="s">
        <v>173</v>
      </c>
      <c r="D688" s="6" t="s">
        <v>35</v>
      </c>
      <c r="E688" s="6" t="s">
        <v>128</v>
      </c>
      <c r="F688" s="6" t="s">
        <v>166</v>
      </c>
      <c r="G688" s="6" t="s">
        <v>167</v>
      </c>
      <c r="H688" s="6" t="s">
        <v>174</v>
      </c>
      <c r="I688" s="6" t="s">
        <v>63</v>
      </c>
      <c r="J688" s="6">
        <v>17.257581406356</v>
      </c>
      <c r="K688" s="6">
        <v>-98.262921658894996</v>
      </c>
      <c r="L688" s="6" t="str">
        <f>HYPERLINK("https://maps.google.com/?q=17.2575814063557,-98.262921658895493", "🔗 Ver Mapa")</f>
        <v>🔗 Ver Mapa</v>
      </c>
    </row>
    <row r="689" spans="1:12" ht="43.5" x14ac:dyDescent="0.35">
      <c r="A689" s="5" t="s">
        <v>8</v>
      </c>
      <c r="B689" s="5" t="s">
        <v>16</v>
      </c>
      <c r="C689" s="5" t="s">
        <v>173</v>
      </c>
      <c r="D689" s="5" t="s">
        <v>35</v>
      </c>
      <c r="E689" s="5" t="s">
        <v>128</v>
      </c>
      <c r="F689" s="5" t="s">
        <v>166</v>
      </c>
      <c r="G689" s="5" t="s">
        <v>167</v>
      </c>
      <c r="H689" s="5" t="s">
        <v>174</v>
      </c>
      <c r="I689" s="5" t="s">
        <v>63</v>
      </c>
      <c r="J689" s="5">
        <v>17.257779599073</v>
      </c>
      <c r="K689" s="5">
        <v>-98.261318294478002</v>
      </c>
      <c r="L689" s="5" t="str">
        <f>HYPERLINK("https://maps.google.com/?q=17.2577795990734,-98.261318294477505", "🔗 Ver Mapa")</f>
        <v>🔗 Ver Mapa</v>
      </c>
    </row>
    <row r="690" spans="1:12" ht="43.5" x14ac:dyDescent="0.35">
      <c r="A690" s="6" t="s">
        <v>8</v>
      </c>
      <c r="B690" s="6" t="s">
        <v>16</v>
      </c>
      <c r="C690" s="6" t="s">
        <v>173</v>
      </c>
      <c r="D690" s="6" t="s">
        <v>35</v>
      </c>
      <c r="E690" s="6" t="s">
        <v>128</v>
      </c>
      <c r="F690" s="6" t="s">
        <v>166</v>
      </c>
      <c r="G690" s="6" t="s">
        <v>167</v>
      </c>
      <c r="H690" s="6" t="s">
        <v>174</v>
      </c>
      <c r="I690" s="6" t="s">
        <v>63</v>
      </c>
      <c r="J690" s="6">
        <v>17.258128678271</v>
      </c>
      <c r="K690" s="6">
        <v>-98.261574200069006</v>
      </c>
      <c r="L690" s="6" t="str">
        <f>HYPERLINK("https://maps.google.com/?q=17.2581286782706,-98.261574200069305", "🔗 Ver Mapa")</f>
        <v>🔗 Ver Mapa</v>
      </c>
    </row>
    <row r="691" spans="1:12" ht="43.5" x14ac:dyDescent="0.35">
      <c r="A691" s="5" t="s">
        <v>8</v>
      </c>
      <c r="B691" s="5" t="s">
        <v>16</v>
      </c>
      <c r="C691" s="5" t="s">
        <v>173</v>
      </c>
      <c r="D691" s="5" t="s">
        <v>35</v>
      </c>
      <c r="E691" s="5" t="s">
        <v>128</v>
      </c>
      <c r="F691" s="5" t="s">
        <v>166</v>
      </c>
      <c r="G691" s="5" t="s">
        <v>167</v>
      </c>
      <c r="H691" s="5" t="s">
        <v>174</v>
      </c>
      <c r="I691" s="5" t="s">
        <v>63</v>
      </c>
      <c r="J691" s="5">
        <v>17.258184844885001</v>
      </c>
      <c r="K691" s="5">
        <v>-98.256655046627003</v>
      </c>
      <c r="L691" s="5" t="str">
        <f>HYPERLINK("https://maps.google.com/?q=17.2581848448853,-98.256655046627003", "🔗 Ver Mapa")</f>
        <v>🔗 Ver Mapa</v>
      </c>
    </row>
    <row r="692" spans="1:12" ht="43.5" x14ac:dyDescent="0.35">
      <c r="A692" s="6" t="s">
        <v>8</v>
      </c>
      <c r="B692" s="6" t="s">
        <v>16</v>
      </c>
      <c r="C692" s="6" t="s">
        <v>173</v>
      </c>
      <c r="D692" s="6" t="s">
        <v>35</v>
      </c>
      <c r="E692" s="6" t="s">
        <v>128</v>
      </c>
      <c r="F692" s="6" t="s">
        <v>166</v>
      </c>
      <c r="G692" s="6" t="s">
        <v>167</v>
      </c>
      <c r="H692" s="6" t="s">
        <v>174</v>
      </c>
      <c r="I692" s="6" t="s">
        <v>63</v>
      </c>
      <c r="J692" s="6">
        <v>17.258535002711</v>
      </c>
      <c r="K692" s="6">
        <v>-98.262795999999994</v>
      </c>
      <c r="L692" s="6" t="str">
        <f>HYPERLINK("https://maps.google.com/?q=17.2585350027111,-98.262795999999994", "🔗 Ver Mapa")</f>
        <v>🔗 Ver Mapa</v>
      </c>
    </row>
    <row r="693" spans="1:12" ht="43.5" x14ac:dyDescent="0.35">
      <c r="A693" s="5" t="s">
        <v>8</v>
      </c>
      <c r="B693" s="5" t="s">
        <v>16</v>
      </c>
      <c r="C693" s="5" t="s">
        <v>173</v>
      </c>
      <c r="D693" s="5" t="s">
        <v>35</v>
      </c>
      <c r="E693" s="5" t="s">
        <v>128</v>
      </c>
      <c r="F693" s="5" t="s">
        <v>166</v>
      </c>
      <c r="G693" s="5" t="s">
        <v>167</v>
      </c>
      <c r="H693" s="5" t="s">
        <v>174</v>
      </c>
      <c r="I693" s="5" t="s">
        <v>63</v>
      </c>
      <c r="J693" s="5">
        <v>17.258579652098</v>
      </c>
      <c r="K693" s="5">
        <v>-98.262392612268002</v>
      </c>
      <c r="L693" s="5" t="str">
        <f>HYPERLINK("https://maps.google.com/?q=17.2585796520976,-98.262392612268499", "🔗 Ver Mapa")</f>
        <v>🔗 Ver Mapa</v>
      </c>
    </row>
    <row r="694" spans="1:12" ht="43.5" x14ac:dyDescent="0.35">
      <c r="A694" s="6" t="s">
        <v>8</v>
      </c>
      <c r="B694" s="6" t="s">
        <v>16</v>
      </c>
      <c r="C694" s="6" t="s">
        <v>173</v>
      </c>
      <c r="D694" s="6" t="s">
        <v>35</v>
      </c>
      <c r="E694" s="6" t="s">
        <v>128</v>
      </c>
      <c r="F694" s="6" t="s">
        <v>166</v>
      </c>
      <c r="G694" s="6" t="s">
        <v>167</v>
      </c>
      <c r="H694" s="6" t="s">
        <v>174</v>
      </c>
      <c r="I694" s="6" t="s">
        <v>63</v>
      </c>
      <c r="J694" s="6">
        <v>17.258606872548999</v>
      </c>
      <c r="K694" s="6">
        <v>-98.262743193953</v>
      </c>
      <c r="L694" s="6" t="str">
        <f>HYPERLINK("https://maps.google.com/?q=17.2586068725493,-98.262743193952801", "🔗 Ver Mapa")</f>
        <v>🔗 Ver Mapa</v>
      </c>
    </row>
    <row r="695" spans="1:12" ht="43.5" x14ac:dyDescent="0.35">
      <c r="A695" s="5" t="s">
        <v>8</v>
      </c>
      <c r="B695" s="5" t="s">
        <v>16</v>
      </c>
      <c r="C695" s="5" t="s">
        <v>173</v>
      </c>
      <c r="D695" s="5" t="s">
        <v>35</v>
      </c>
      <c r="E695" s="5" t="s">
        <v>128</v>
      </c>
      <c r="F695" s="5" t="s">
        <v>166</v>
      </c>
      <c r="G695" s="5" t="s">
        <v>167</v>
      </c>
      <c r="H695" s="5" t="s">
        <v>174</v>
      </c>
      <c r="I695" s="5" t="s">
        <v>63</v>
      </c>
      <c r="J695" s="5">
        <v>17.258704406317001</v>
      </c>
      <c r="K695" s="5">
        <v>-98.260721341104002</v>
      </c>
      <c r="L695" s="5" t="str">
        <f>HYPERLINK("https://maps.google.com/?q=17.2587044063169,-98.2607213411045", "🔗 Ver Mapa")</f>
        <v>🔗 Ver Mapa</v>
      </c>
    </row>
    <row r="696" spans="1:12" ht="43.5" x14ac:dyDescent="0.35">
      <c r="A696" s="6" t="s">
        <v>8</v>
      </c>
      <c r="B696" s="6" t="s">
        <v>16</v>
      </c>
      <c r="C696" s="6" t="s">
        <v>173</v>
      </c>
      <c r="D696" s="6" t="s">
        <v>35</v>
      </c>
      <c r="E696" s="6" t="s">
        <v>128</v>
      </c>
      <c r="F696" s="6" t="s">
        <v>166</v>
      </c>
      <c r="G696" s="6" t="s">
        <v>167</v>
      </c>
      <c r="H696" s="6" t="s">
        <v>174</v>
      </c>
      <c r="I696" s="6" t="s">
        <v>63</v>
      </c>
      <c r="J696" s="6">
        <v>17.258705338698</v>
      </c>
      <c r="K696" s="6">
        <v>-98.262694076057997</v>
      </c>
      <c r="L696" s="6" t="str">
        <f>HYPERLINK("https://maps.google.com/?q=17.2587053386978,-98.262694076057599", "🔗 Ver Mapa")</f>
        <v>🔗 Ver Mapa</v>
      </c>
    </row>
    <row r="697" spans="1:12" ht="43.5" x14ac:dyDescent="0.35">
      <c r="A697" s="5" t="s">
        <v>8</v>
      </c>
      <c r="B697" s="5" t="s">
        <v>16</v>
      </c>
      <c r="C697" s="5" t="s">
        <v>173</v>
      </c>
      <c r="D697" s="5" t="s">
        <v>35</v>
      </c>
      <c r="E697" s="5" t="s">
        <v>128</v>
      </c>
      <c r="F697" s="5" t="s">
        <v>166</v>
      </c>
      <c r="G697" s="5" t="s">
        <v>167</v>
      </c>
      <c r="H697" s="5" t="s">
        <v>174</v>
      </c>
      <c r="I697" s="5" t="s">
        <v>63</v>
      </c>
      <c r="J697" s="5">
        <v>17.258785002711001</v>
      </c>
      <c r="K697" s="5">
        <v>-98.261480000000006</v>
      </c>
      <c r="L697" s="5" t="str">
        <f>HYPERLINK("https://maps.google.com/?q=17.2587850027112,-98.261480000000006", "🔗 Ver Mapa")</f>
        <v>🔗 Ver Mapa</v>
      </c>
    </row>
    <row r="698" spans="1:12" ht="43.5" x14ac:dyDescent="0.35">
      <c r="A698" s="6" t="s">
        <v>8</v>
      </c>
      <c r="B698" s="6" t="s">
        <v>16</v>
      </c>
      <c r="C698" s="6" t="s">
        <v>173</v>
      </c>
      <c r="D698" s="6" t="s">
        <v>35</v>
      </c>
      <c r="E698" s="6" t="s">
        <v>128</v>
      </c>
      <c r="F698" s="6" t="s">
        <v>166</v>
      </c>
      <c r="G698" s="6" t="s">
        <v>167</v>
      </c>
      <c r="H698" s="6" t="s">
        <v>174</v>
      </c>
      <c r="I698" s="6" t="s">
        <v>63</v>
      </c>
      <c r="J698" s="6">
        <v>17.258902615095</v>
      </c>
      <c r="K698" s="6">
        <v>-98.263030177909997</v>
      </c>
      <c r="L698" s="6" t="str">
        <f>HYPERLINK("https://maps.google.com/?q=17.2589026150947,-98.263030177909897", "🔗 Ver Mapa")</f>
        <v>🔗 Ver Mapa</v>
      </c>
    </row>
    <row r="699" spans="1:12" ht="43.5" x14ac:dyDescent="0.35">
      <c r="A699" s="5" t="s">
        <v>8</v>
      </c>
      <c r="B699" s="5" t="s">
        <v>16</v>
      </c>
      <c r="C699" s="5" t="s">
        <v>173</v>
      </c>
      <c r="D699" s="5" t="s">
        <v>35</v>
      </c>
      <c r="E699" s="5" t="s">
        <v>128</v>
      </c>
      <c r="F699" s="5" t="s">
        <v>166</v>
      </c>
      <c r="G699" s="5" t="s">
        <v>167</v>
      </c>
      <c r="H699" s="5" t="s">
        <v>174</v>
      </c>
      <c r="I699" s="5" t="s">
        <v>63</v>
      </c>
      <c r="J699" s="5">
        <v>17.258966600127</v>
      </c>
      <c r="K699" s="5">
        <v>-98.263043647239002</v>
      </c>
      <c r="L699" s="5" t="str">
        <f>HYPERLINK("https://maps.google.com/?q=17.2589666001267,-98.263043647238703", "🔗 Ver Mapa")</f>
        <v>🔗 Ver Mapa</v>
      </c>
    </row>
    <row r="700" spans="1:12" ht="43.5" x14ac:dyDescent="0.35">
      <c r="A700" s="6" t="s">
        <v>8</v>
      </c>
      <c r="B700" s="6" t="s">
        <v>16</v>
      </c>
      <c r="C700" s="6" t="s">
        <v>173</v>
      </c>
      <c r="D700" s="6" t="s">
        <v>35</v>
      </c>
      <c r="E700" s="6" t="s">
        <v>128</v>
      </c>
      <c r="F700" s="6" t="s">
        <v>166</v>
      </c>
      <c r="G700" s="6" t="s">
        <v>167</v>
      </c>
      <c r="H700" s="6" t="s">
        <v>174</v>
      </c>
      <c r="I700" s="6" t="s">
        <v>63</v>
      </c>
      <c r="J700" s="6">
        <v>17.259022283429999</v>
      </c>
      <c r="K700" s="6">
        <v>-98.257771682208997</v>
      </c>
      <c r="L700" s="6" t="str">
        <f>HYPERLINK("https://maps.google.com/?q=17.2590222834301,-98.257771682208997", "🔗 Ver Mapa")</f>
        <v>🔗 Ver Mapa</v>
      </c>
    </row>
    <row r="701" spans="1:12" ht="43.5" x14ac:dyDescent="0.35">
      <c r="A701" s="5" t="s">
        <v>8</v>
      </c>
      <c r="B701" s="5" t="s">
        <v>16</v>
      </c>
      <c r="C701" s="5" t="s">
        <v>173</v>
      </c>
      <c r="D701" s="5" t="s">
        <v>35</v>
      </c>
      <c r="E701" s="5" t="s">
        <v>128</v>
      </c>
      <c r="F701" s="5" t="s">
        <v>166</v>
      </c>
      <c r="G701" s="5" t="s">
        <v>167</v>
      </c>
      <c r="H701" s="5" t="s">
        <v>174</v>
      </c>
      <c r="I701" s="5" t="s">
        <v>63</v>
      </c>
      <c r="J701" s="5">
        <v>17.259038967742999</v>
      </c>
      <c r="K701" s="5">
        <v>-98.259208341103999</v>
      </c>
      <c r="L701" s="5" t="str">
        <f>HYPERLINK("https://maps.google.com/?q=17.259038967743,-98.259208341104497", "🔗 Ver Mapa")</f>
        <v>🔗 Ver Mapa</v>
      </c>
    </row>
    <row r="702" spans="1:12" ht="43.5" x14ac:dyDescent="0.35">
      <c r="A702" s="6" t="s">
        <v>8</v>
      </c>
      <c r="B702" s="6" t="s">
        <v>16</v>
      </c>
      <c r="C702" s="6" t="s">
        <v>173</v>
      </c>
      <c r="D702" s="6" t="s">
        <v>35</v>
      </c>
      <c r="E702" s="6" t="s">
        <v>128</v>
      </c>
      <c r="F702" s="6" t="s">
        <v>166</v>
      </c>
      <c r="G702" s="6" t="s">
        <v>167</v>
      </c>
      <c r="H702" s="6" t="s">
        <v>174</v>
      </c>
      <c r="I702" s="6" t="s">
        <v>63</v>
      </c>
      <c r="J702" s="6">
        <v>17.259055863179999</v>
      </c>
      <c r="K702" s="6">
        <v>-98.262118158752003</v>
      </c>
      <c r="L702" s="6" t="str">
        <f>HYPERLINK("https://maps.google.com/?q=17.2590558631798,-98.262118158751505", "🔗 Ver Mapa")</f>
        <v>🔗 Ver Mapa</v>
      </c>
    </row>
    <row r="703" spans="1:12" ht="43.5" x14ac:dyDescent="0.35">
      <c r="A703" s="5" t="s">
        <v>8</v>
      </c>
      <c r="B703" s="5" t="s">
        <v>16</v>
      </c>
      <c r="C703" s="5" t="s">
        <v>173</v>
      </c>
      <c r="D703" s="5" t="s">
        <v>35</v>
      </c>
      <c r="E703" s="5" t="s">
        <v>128</v>
      </c>
      <c r="F703" s="5" t="s">
        <v>166</v>
      </c>
      <c r="G703" s="5" t="s">
        <v>167</v>
      </c>
      <c r="H703" s="5" t="s">
        <v>174</v>
      </c>
      <c r="I703" s="5" t="s">
        <v>63</v>
      </c>
      <c r="J703" s="5">
        <v>17.259121721993001</v>
      </c>
      <c r="K703" s="5">
        <v>-98.262187976687002</v>
      </c>
      <c r="L703" s="5" t="str">
        <f>HYPERLINK("https://maps.google.com/?q=17.259121721993,-98.262187976686505", "🔗 Ver Mapa")</f>
        <v>🔗 Ver Mapa</v>
      </c>
    </row>
    <row r="704" spans="1:12" ht="43.5" x14ac:dyDescent="0.35">
      <c r="A704" s="6" t="s">
        <v>8</v>
      </c>
      <c r="B704" s="6" t="s">
        <v>16</v>
      </c>
      <c r="C704" s="6" t="s">
        <v>173</v>
      </c>
      <c r="D704" s="6" t="s">
        <v>35</v>
      </c>
      <c r="E704" s="6" t="s">
        <v>128</v>
      </c>
      <c r="F704" s="6" t="s">
        <v>166</v>
      </c>
      <c r="G704" s="6" t="s">
        <v>167</v>
      </c>
      <c r="H704" s="6" t="s">
        <v>174</v>
      </c>
      <c r="I704" s="6" t="s">
        <v>63</v>
      </c>
      <c r="J704" s="6">
        <v>17.259264721994001</v>
      </c>
      <c r="K704" s="6">
        <v>-98.262565658894999</v>
      </c>
      <c r="L704" s="6" t="str">
        <f>HYPERLINK("https://maps.google.com/?q=17.259264721994,-98.262565658895497", "🔗 Ver Mapa")</f>
        <v>🔗 Ver Mapa</v>
      </c>
    </row>
    <row r="705" spans="1:12" ht="43.5" x14ac:dyDescent="0.35">
      <c r="A705" s="5" t="s">
        <v>8</v>
      </c>
      <c r="B705" s="5" t="s">
        <v>16</v>
      </c>
      <c r="C705" s="5" t="s">
        <v>173</v>
      </c>
      <c r="D705" s="5" t="s">
        <v>35</v>
      </c>
      <c r="E705" s="5" t="s">
        <v>128</v>
      </c>
      <c r="F705" s="5" t="s">
        <v>166</v>
      </c>
      <c r="G705" s="5" t="s">
        <v>167</v>
      </c>
      <c r="H705" s="5" t="s">
        <v>174</v>
      </c>
      <c r="I705" s="5" t="s">
        <v>63</v>
      </c>
      <c r="J705" s="5">
        <v>17.259372564144002</v>
      </c>
      <c r="K705" s="5">
        <v>-98.263626341104001</v>
      </c>
      <c r="L705" s="5" t="str">
        <f>HYPERLINK("https://maps.google.com/?q=17.2593725641442,-98.263626341104498", "🔗 Ver Mapa")</f>
        <v>🔗 Ver Mapa</v>
      </c>
    </row>
    <row r="706" spans="1:12" ht="43.5" x14ac:dyDescent="0.35">
      <c r="A706" s="6" t="s">
        <v>8</v>
      </c>
      <c r="B706" s="6" t="s">
        <v>16</v>
      </c>
      <c r="C706" s="6" t="s">
        <v>173</v>
      </c>
      <c r="D706" s="6" t="s">
        <v>35</v>
      </c>
      <c r="E706" s="6" t="s">
        <v>128</v>
      </c>
      <c r="F706" s="6" t="s">
        <v>166</v>
      </c>
      <c r="G706" s="6" t="s">
        <v>167</v>
      </c>
      <c r="H706" s="6" t="s">
        <v>174</v>
      </c>
      <c r="I706" s="6" t="s">
        <v>63</v>
      </c>
      <c r="J706" s="6">
        <v>17.259587308330001</v>
      </c>
      <c r="K706" s="6">
        <v>-98.263830477927002</v>
      </c>
      <c r="L706" s="6" t="str">
        <f>HYPERLINK("https://maps.google.com/?q=17.2595873083304,-98.2638304779272", "🔗 Ver Mapa")</f>
        <v>🔗 Ver Mapa</v>
      </c>
    </row>
    <row r="707" spans="1:12" ht="43.5" x14ac:dyDescent="0.35">
      <c r="A707" s="5" t="s">
        <v>8</v>
      </c>
      <c r="B707" s="5" t="s">
        <v>16</v>
      </c>
      <c r="C707" s="5" t="s">
        <v>173</v>
      </c>
      <c r="D707" s="5" t="s">
        <v>35</v>
      </c>
      <c r="E707" s="5" t="s">
        <v>128</v>
      </c>
      <c r="F707" s="5" t="s">
        <v>166</v>
      </c>
      <c r="G707" s="5" t="s">
        <v>167</v>
      </c>
      <c r="H707" s="5" t="s">
        <v>174</v>
      </c>
      <c r="I707" s="5" t="s">
        <v>63</v>
      </c>
      <c r="J707" s="5">
        <v>17.259658721996999</v>
      </c>
      <c r="K707" s="5">
        <v>-98.263088999999994</v>
      </c>
      <c r="L707" s="5" t="str">
        <f>HYPERLINK("https://maps.google.com/?q=17.2596587219968,-98.263088999999994", "🔗 Ver Mapa")</f>
        <v>🔗 Ver Mapa</v>
      </c>
    </row>
    <row r="708" spans="1:12" ht="43.5" x14ac:dyDescent="0.35">
      <c r="A708" s="6" t="s">
        <v>8</v>
      </c>
      <c r="B708" s="6" t="s">
        <v>16</v>
      </c>
      <c r="C708" s="6" t="s">
        <v>173</v>
      </c>
      <c r="D708" s="6" t="s">
        <v>35</v>
      </c>
      <c r="E708" s="6" t="s">
        <v>128</v>
      </c>
      <c r="F708" s="6" t="s">
        <v>166</v>
      </c>
      <c r="G708" s="6" t="s">
        <v>167</v>
      </c>
      <c r="H708" s="6" t="s">
        <v>174</v>
      </c>
      <c r="I708" s="6" t="s">
        <v>63</v>
      </c>
      <c r="J708" s="6">
        <v>17.259695564139999</v>
      </c>
      <c r="K708" s="6">
        <v>-98.263754341104999</v>
      </c>
      <c r="L708" s="6" t="str">
        <f>HYPERLINK("https://maps.google.com/?q=17.2596955641398,-98.263754341104502", "🔗 Ver Mapa")</f>
        <v>🔗 Ver Mapa</v>
      </c>
    </row>
    <row r="709" spans="1:12" ht="43.5" x14ac:dyDescent="0.35">
      <c r="A709" s="5" t="s">
        <v>8</v>
      </c>
      <c r="B709" s="5" t="s">
        <v>16</v>
      </c>
      <c r="C709" s="5" t="s">
        <v>173</v>
      </c>
      <c r="D709" s="5" t="s">
        <v>35</v>
      </c>
      <c r="E709" s="5" t="s">
        <v>128</v>
      </c>
      <c r="F709" s="5" t="s">
        <v>166</v>
      </c>
      <c r="G709" s="5" t="s">
        <v>167</v>
      </c>
      <c r="H709" s="5" t="s">
        <v>174</v>
      </c>
      <c r="I709" s="5" t="s">
        <v>63</v>
      </c>
      <c r="J709" s="5">
        <v>17.259883788998</v>
      </c>
      <c r="K709" s="5">
        <v>-98.262657131283007</v>
      </c>
      <c r="L709" s="5" t="str">
        <f>HYPERLINK("https://maps.google.com/?q=17.2598837889981,-98.262657131282793", "🔗 Ver Mapa")</f>
        <v>🔗 Ver Mapa</v>
      </c>
    </row>
    <row r="710" spans="1:12" ht="43.5" x14ac:dyDescent="0.35">
      <c r="A710" s="6" t="s">
        <v>8</v>
      </c>
      <c r="B710" s="6" t="s">
        <v>16</v>
      </c>
      <c r="C710" s="6" t="s">
        <v>173</v>
      </c>
      <c r="D710" s="6" t="s">
        <v>35</v>
      </c>
      <c r="E710" s="6" t="s">
        <v>128</v>
      </c>
      <c r="F710" s="6" t="s">
        <v>166</v>
      </c>
      <c r="G710" s="6" t="s">
        <v>167</v>
      </c>
      <c r="H710" s="6" t="s">
        <v>174</v>
      </c>
      <c r="I710" s="6" t="s">
        <v>63</v>
      </c>
      <c r="J710" s="6">
        <v>17.259953596833999</v>
      </c>
      <c r="K710" s="6">
        <v>-98.261461418888999</v>
      </c>
      <c r="L710" s="6" t="str">
        <f>HYPERLINK("https://maps.google.com/?q=17.2599535968339,-98.261461418888999", "🔗 Ver Mapa")</f>
        <v>🔗 Ver Mapa</v>
      </c>
    </row>
    <row r="711" spans="1:12" ht="43.5" x14ac:dyDescent="0.35">
      <c r="A711" s="5" t="s">
        <v>8</v>
      </c>
      <c r="B711" s="5" t="s">
        <v>16</v>
      </c>
      <c r="C711" s="5" t="s">
        <v>173</v>
      </c>
      <c r="D711" s="5" t="s">
        <v>35</v>
      </c>
      <c r="E711" s="5" t="s">
        <v>128</v>
      </c>
      <c r="F711" s="5" t="s">
        <v>166</v>
      </c>
      <c r="G711" s="5" t="s">
        <v>167</v>
      </c>
      <c r="H711" s="5" t="s">
        <v>174</v>
      </c>
      <c r="I711" s="5" t="s">
        <v>63</v>
      </c>
      <c r="J711" s="5">
        <v>17.259956836560999</v>
      </c>
      <c r="K711" s="5">
        <v>-98.262576688326007</v>
      </c>
      <c r="L711" s="5" t="str">
        <f>HYPERLINK("https://maps.google.com/?q=17.2599568365615,-98.262576688326106", "🔗 Ver Mapa")</f>
        <v>🔗 Ver Mapa</v>
      </c>
    </row>
    <row r="712" spans="1:12" ht="43.5" x14ac:dyDescent="0.35">
      <c r="A712" s="6" t="s">
        <v>8</v>
      </c>
      <c r="B712" s="6" t="s">
        <v>16</v>
      </c>
      <c r="C712" s="6" t="s">
        <v>173</v>
      </c>
      <c r="D712" s="6" t="s">
        <v>35</v>
      </c>
      <c r="E712" s="6" t="s">
        <v>128</v>
      </c>
      <c r="F712" s="6" t="s">
        <v>166</v>
      </c>
      <c r="G712" s="6" t="s">
        <v>167</v>
      </c>
      <c r="H712" s="6" t="s">
        <v>174</v>
      </c>
      <c r="I712" s="6" t="s">
        <v>63</v>
      </c>
      <c r="J712" s="6">
        <v>17.25998659915</v>
      </c>
      <c r="K712" s="6">
        <v>-98.263110976687003</v>
      </c>
      <c r="L712" s="6" t="str">
        <f>HYPERLINK("https://maps.google.com/?q=17.2599865991504,-98.263110976686505", "🔗 Ver Mapa")</f>
        <v>🔗 Ver Mapa</v>
      </c>
    </row>
    <row r="713" spans="1:12" ht="43.5" x14ac:dyDescent="0.35">
      <c r="A713" s="5" t="s">
        <v>8</v>
      </c>
      <c r="B713" s="5" t="s">
        <v>16</v>
      </c>
      <c r="C713" s="5" t="s">
        <v>173</v>
      </c>
      <c r="D713" s="5" t="s">
        <v>35</v>
      </c>
      <c r="E713" s="5" t="s">
        <v>128</v>
      </c>
      <c r="F713" s="5" t="s">
        <v>166</v>
      </c>
      <c r="G713" s="5" t="s">
        <v>167</v>
      </c>
      <c r="H713" s="5" t="s">
        <v>174</v>
      </c>
      <c r="I713" s="5" t="s">
        <v>63</v>
      </c>
      <c r="J713" s="5">
        <v>17.260008160575001</v>
      </c>
      <c r="K713" s="5">
        <v>-98.262640341104998</v>
      </c>
      <c r="L713" s="5" t="str">
        <f>HYPERLINK("https://maps.google.com/?q=17.2600081605752,-98.2626403411045", "🔗 Ver Mapa")</f>
        <v>🔗 Ver Mapa</v>
      </c>
    </row>
    <row r="714" spans="1:12" ht="43.5" x14ac:dyDescent="0.35">
      <c r="A714" s="6" t="s">
        <v>8</v>
      </c>
      <c r="B714" s="6" t="s">
        <v>16</v>
      </c>
      <c r="C714" s="6" t="s">
        <v>173</v>
      </c>
      <c r="D714" s="6" t="s">
        <v>35</v>
      </c>
      <c r="E714" s="6" t="s">
        <v>128</v>
      </c>
      <c r="F714" s="6" t="s">
        <v>166</v>
      </c>
      <c r="G714" s="6" t="s">
        <v>167</v>
      </c>
      <c r="H714" s="6" t="s">
        <v>174</v>
      </c>
      <c r="I714" s="6" t="s">
        <v>63</v>
      </c>
      <c r="J714" s="6">
        <v>17.260077564134999</v>
      </c>
      <c r="K714" s="6">
        <v>-98.261623</v>
      </c>
      <c r="L714" s="6" t="str">
        <f>HYPERLINK("https://maps.google.com/?q=17.2600775641346,-98.261623", "🔗 Ver Mapa")</f>
        <v>🔗 Ver Mapa</v>
      </c>
    </row>
    <row r="715" spans="1:12" ht="43.5" x14ac:dyDescent="0.35">
      <c r="A715" s="5" t="s">
        <v>8</v>
      </c>
      <c r="B715" s="5" t="s">
        <v>16</v>
      </c>
      <c r="C715" s="5" t="s">
        <v>173</v>
      </c>
      <c r="D715" s="5" t="s">
        <v>35</v>
      </c>
      <c r="E715" s="5" t="s">
        <v>128</v>
      </c>
      <c r="F715" s="5" t="s">
        <v>166</v>
      </c>
      <c r="G715" s="5" t="s">
        <v>167</v>
      </c>
      <c r="H715" s="5" t="s">
        <v>174</v>
      </c>
      <c r="I715" s="5" t="s">
        <v>63</v>
      </c>
      <c r="J715" s="5">
        <v>17.260181844843999</v>
      </c>
      <c r="K715" s="5">
        <v>-98.261063341105</v>
      </c>
      <c r="L715" s="5" t="str">
        <f>HYPERLINK("https://maps.google.com/?q=17.260181844844,-98.261063341104503", "🔗 Ver Mapa")</f>
        <v>🔗 Ver Mapa</v>
      </c>
    </row>
    <row r="716" spans="1:12" ht="43.5" x14ac:dyDescent="0.35">
      <c r="A716" s="6" t="s">
        <v>8</v>
      </c>
      <c r="B716" s="6" t="s">
        <v>16</v>
      </c>
      <c r="C716" s="6" t="s">
        <v>173</v>
      </c>
      <c r="D716" s="6" t="s">
        <v>35</v>
      </c>
      <c r="E716" s="6" t="s">
        <v>128</v>
      </c>
      <c r="F716" s="6" t="s">
        <v>166</v>
      </c>
      <c r="G716" s="6" t="s">
        <v>167</v>
      </c>
      <c r="H716" s="6" t="s">
        <v>174</v>
      </c>
      <c r="I716" s="6" t="s">
        <v>63</v>
      </c>
      <c r="J716" s="6">
        <v>17.260212406265001</v>
      </c>
      <c r="K716" s="6">
        <v>-98.261138341104001</v>
      </c>
      <c r="L716" s="6" t="str">
        <f>HYPERLINK("https://maps.google.com/?q=17.2602124062647,-98.261138341104498", "🔗 Ver Mapa")</f>
        <v>🔗 Ver Mapa</v>
      </c>
    </row>
    <row r="717" spans="1:12" ht="43.5" x14ac:dyDescent="0.35">
      <c r="A717" s="5" t="s">
        <v>8</v>
      </c>
      <c r="B717" s="5" t="s">
        <v>16</v>
      </c>
      <c r="C717" s="5" t="s">
        <v>173</v>
      </c>
      <c r="D717" s="5" t="s">
        <v>35</v>
      </c>
      <c r="E717" s="5" t="s">
        <v>128</v>
      </c>
      <c r="F717" s="5" t="s">
        <v>166</v>
      </c>
      <c r="G717" s="5" t="s">
        <v>167</v>
      </c>
      <c r="H717" s="5" t="s">
        <v>174</v>
      </c>
      <c r="I717" s="5" t="s">
        <v>63</v>
      </c>
      <c r="J717" s="5">
        <v>17.260280722000999</v>
      </c>
      <c r="K717" s="5">
        <v>-98.261792999999997</v>
      </c>
      <c r="L717" s="5" t="str">
        <f>HYPERLINK("https://maps.google.com/?q=17.2602807220012,-98.261792999999997", "🔗 Ver Mapa")</f>
        <v>🔗 Ver Mapa</v>
      </c>
    </row>
    <row r="718" spans="1:12" ht="43.5" x14ac:dyDescent="0.35">
      <c r="A718" s="6" t="s">
        <v>8</v>
      </c>
      <c r="B718" s="6" t="s">
        <v>16</v>
      </c>
      <c r="C718" s="6" t="s">
        <v>173</v>
      </c>
      <c r="D718" s="6" t="s">
        <v>35</v>
      </c>
      <c r="E718" s="6" t="s">
        <v>128</v>
      </c>
      <c r="F718" s="6" t="s">
        <v>166</v>
      </c>
      <c r="G718" s="6" t="s">
        <v>167</v>
      </c>
      <c r="H718" s="6" t="s">
        <v>174</v>
      </c>
      <c r="I718" s="6" t="s">
        <v>63</v>
      </c>
      <c r="J718" s="6">
        <v>17.260328160581999</v>
      </c>
      <c r="K718" s="6">
        <v>-98.262234976686997</v>
      </c>
      <c r="L718" s="6" t="str">
        <f>HYPERLINK("https://maps.google.com/?q=17.2603281605818,-98.262234976686997", "🔗 Ver Mapa")</f>
        <v>🔗 Ver Mapa</v>
      </c>
    </row>
    <row r="719" spans="1:12" ht="43.5" x14ac:dyDescent="0.35">
      <c r="A719" s="5" t="s">
        <v>8</v>
      </c>
      <c r="B719" s="5" t="s">
        <v>16</v>
      </c>
      <c r="C719" s="5" t="s">
        <v>173</v>
      </c>
      <c r="D719" s="5" t="s">
        <v>35</v>
      </c>
      <c r="E719" s="5" t="s">
        <v>128</v>
      </c>
      <c r="F719" s="5" t="s">
        <v>166</v>
      </c>
      <c r="G719" s="5" t="s">
        <v>167</v>
      </c>
      <c r="H719" s="5" t="s">
        <v>174</v>
      </c>
      <c r="I719" s="5" t="s">
        <v>63</v>
      </c>
      <c r="J719" s="5">
        <v>17.260432002710999</v>
      </c>
      <c r="K719" s="5">
        <v>-98.262706682209</v>
      </c>
      <c r="L719" s="5" t="str">
        <f>HYPERLINK("https://maps.google.com/?q=17.2604320027114,-98.262706682209", "🔗 Ver Mapa")</f>
        <v>🔗 Ver Mapa</v>
      </c>
    </row>
    <row r="720" spans="1:12" ht="43.5" x14ac:dyDescent="0.35">
      <c r="A720" s="6" t="s">
        <v>8</v>
      </c>
      <c r="B720" s="6" t="s">
        <v>16</v>
      </c>
      <c r="C720" s="6" t="s">
        <v>173</v>
      </c>
      <c r="D720" s="6" t="s">
        <v>35</v>
      </c>
      <c r="E720" s="6" t="s">
        <v>128</v>
      </c>
      <c r="F720" s="6" t="s">
        <v>166</v>
      </c>
      <c r="G720" s="6" t="s">
        <v>167</v>
      </c>
      <c r="H720" s="6" t="s">
        <v>174</v>
      </c>
      <c r="I720" s="6" t="s">
        <v>63</v>
      </c>
      <c r="J720" s="6">
        <v>17.260435844839002</v>
      </c>
      <c r="K720" s="6">
        <v>-98.262570999999994</v>
      </c>
      <c r="L720" s="6" t="str">
        <f>HYPERLINK("https://maps.google.com/?q=17.2604358448388,-98.262570999999994", "🔗 Ver Mapa")</f>
        <v>🔗 Ver Mapa</v>
      </c>
    </row>
    <row r="721" spans="1:12" ht="43.5" x14ac:dyDescent="0.35">
      <c r="A721" s="5" t="s">
        <v>8</v>
      </c>
      <c r="B721" s="5" t="s">
        <v>16</v>
      </c>
      <c r="C721" s="5" t="s">
        <v>173</v>
      </c>
      <c r="D721" s="5" t="s">
        <v>35</v>
      </c>
      <c r="E721" s="5" t="s">
        <v>128</v>
      </c>
      <c r="F721" s="5" t="s">
        <v>166</v>
      </c>
      <c r="G721" s="5" t="s">
        <v>167</v>
      </c>
      <c r="H721" s="5" t="s">
        <v>174</v>
      </c>
      <c r="I721" s="5" t="s">
        <v>63</v>
      </c>
      <c r="J721" s="5">
        <v>17.260471722003</v>
      </c>
      <c r="K721" s="5">
        <v>-98.260857658896001</v>
      </c>
      <c r="L721" s="5" t="str">
        <f>HYPERLINK("https://maps.google.com/?q=17.2604717220026,-98.260857658895503", "🔗 Ver Mapa")</f>
        <v>🔗 Ver Mapa</v>
      </c>
    </row>
    <row r="722" spans="1:12" ht="43.5" x14ac:dyDescent="0.35">
      <c r="A722" s="6" t="s">
        <v>8</v>
      </c>
      <c r="B722" s="6" t="s">
        <v>16</v>
      </c>
      <c r="C722" s="6" t="s">
        <v>173</v>
      </c>
      <c r="D722" s="6" t="s">
        <v>35</v>
      </c>
      <c r="E722" s="6" t="s">
        <v>128</v>
      </c>
      <c r="F722" s="6" t="s">
        <v>166</v>
      </c>
      <c r="G722" s="6" t="s">
        <v>167</v>
      </c>
      <c r="H722" s="6" t="s">
        <v>174</v>
      </c>
      <c r="I722" s="6" t="s">
        <v>63</v>
      </c>
      <c r="J722" s="6">
        <v>17.260543423655999</v>
      </c>
      <c r="K722" s="6">
        <v>-98.261304315309999</v>
      </c>
      <c r="L722" s="6" t="str">
        <f>HYPERLINK("https://maps.google.com/?q=17.2605434236561,-98.261304315309602", "🔗 Ver Mapa")</f>
        <v>🔗 Ver Mapa</v>
      </c>
    </row>
    <row r="723" spans="1:12" ht="43.5" x14ac:dyDescent="0.35">
      <c r="A723" s="5" t="s">
        <v>8</v>
      </c>
      <c r="B723" s="5" t="s">
        <v>16</v>
      </c>
      <c r="C723" s="5" t="s">
        <v>173</v>
      </c>
      <c r="D723" s="5" t="s">
        <v>35</v>
      </c>
      <c r="E723" s="5" t="s">
        <v>128</v>
      </c>
      <c r="F723" s="5" t="s">
        <v>166</v>
      </c>
      <c r="G723" s="5" t="s">
        <v>167</v>
      </c>
      <c r="H723" s="5" t="s">
        <v>174</v>
      </c>
      <c r="I723" s="5" t="s">
        <v>63</v>
      </c>
      <c r="J723" s="5">
        <v>17.260912134401998</v>
      </c>
      <c r="K723" s="5">
        <v>-98.264979000221999</v>
      </c>
      <c r="L723" s="5" t="str">
        <f>HYPERLINK("https://maps.google.com/?q=17.2609121344017,-98.2649790002218", "🔗 Ver Mapa")</f>
        <v>🔗 Ver Mapa</v>
      </c>
    </row>
    <row r="724" spans="1:12" ht="43.5" x14ac:dyDescent="0.35">
      <c r="A724" s="6" t="s">
        <v>8</v>
      </c>
      <c r="B724" s="6" t="s">
        <v>16</v>
      </c>
      <c r="C724" s="6" t="s">
        <v>173</v>
      </c>
      <c r="D724" s="6" t="s">
        <v>35</v>
      </c>
      <c r="E724" s="6" t="s">
        <v>128</v>
      </c>
      <c r="F724" s="6" t="s">
        <v>166</v>
      </c>
      <c r="G724" s="6" t="s">
        <v>167</v>
      </c>
      <c r="H724" s="6" t="s">
        <v>174</v>
      </c>
      <c r="I724" s="6" t="s">
        <v>63</v>
      </c>
      <c r="J724" s="6">
        <v>17.261725844811998</v>
      </c>
      <c r="K724" s="6">
        <v>-98.265454341104999</v>
      </c>
      <c r="L724" s="6" t="str">
        <f>HYPERLINK("https://maps.google.com/?q=17.2617258448121,-98.265454341104501", "🔗 Ver Mapa")</f>
        <v>🔗 Ver Mapa</v>
      </c>
    </row>
    <row r="725" spans="1:12" ht="43.5" x14ac:dyDescent="0.35">
      <c r="A725" s="5" t="s">
        <v>8</v>
      </c>
      <c r="B725" s="5" t="s">
        <v>16</v>
      </c>
      <c r="C725" s="5" t="s">
        <v>173</v>
      </c>
      <c r="D725" s="5" t="s">
        <v>35</v>
      </c>
      <c r="E725" s="5" t="s">
        <v>128</v>
      </c>
      <c r="F725" s="5" t="s">
        <v>166</v>
      </c>
      <c r="G725" s="5" t="s">
        <v>167</v>
      </c>
      <c r="H725" s="5" t="s">
        <v>174</v>
      </c>
      <c r="I725" s="5" t="s">
        <v>63</v>
      </c>
      <c r="J725" s="5">
        <v>17.263037722021</v>
      </c>
      <c r="K725" s="5">
        <v>-98.263874341104</v>
      </c>
      <c r="L725" s="5" t="str">
        <f>HYPERLINK("https://maps.google.com/?q=17.2630377220209,-98.263874341104497", "🔗 Ver Mapa")</f>
        <v>🔗 Ver Mapa</v>
      </c>
    </row>
    <row r="726" spans="1:12" ht="43.5" x14ac:dyDescent="0.35">
      <c r="A726" s="6" t="s">
        <v>8</v>
      </c>
      <c r="B726" s="6" t="s">
        <v>16</v>
      </c>
      <c r="C726" s="6" t="s">
        <v>173</v>
      </c>
      <c r="D726" s="6" t="s">
        <v>35</v>
      </c>
      <c r="E726" s="6" t="s">
        <v>128</v>
      </c>
      <c r="F726" s="6" t="s">
        <v>166</v>
      </c>
      <c r="G726" s="6" t="s">
        <v>167</v>
      </c>
      <c r="H726" s="6" t="s">
        <v>174</v>
      </c>
      <c r="I726" s="6" t="s">
        <v>63</v>
      </c>
      <c r="J726" s="6">
        <v>17.263317406157</v>
      </c>
      <c r="K726" s="6">
        <v>-98.266660705522995</v>
      </c>
      <c r="L726" s="6" t="str">
        <f>HYPERLINK("https://maps.google.com/?q=17.2633174061574,-98.266660705522597", "🔗 Ver Mapa")</f>
        <v>🔗 Ver Mapa</v>
      </c>
    </row>
    <row r="727" spans="1:12" ht="43.5" x14ac:dyDescent="0.35">
      <c r="A727" s="5" t="s">
        <v>8</v>
      </c>
      <c r="B727" s="5" t="s">
        <v>16</v>
      </c>
      <c r="C727" s="5" t="s">
        <v>175</v>
      </c>
      <c r="D727" s="5" t="s">
        <v>35</v>
      </c>
      <c r="E727" s="5" t="s">
        <v>39</v>
      </c>
      <c r="F727" s="5" t="s">
        <v>162</v>
      </c>
      <c r="G727" s="5" t="s">
        <v>176</v>
      </c>
      <c r="H727" s="5" t="s">
        <v>177</v>
      </c>
      <c r="I727" s="5" t="s">
        <v>63</v>
      </c>
      <c r="J727" s="5">
        <v>16.888266648026999</v>
      </c>
      <c r="K727" s="5">
        <v>-95.030040410566997</v>
      </c>
      <c r="L727" s="5" t="str">
        <f>HYPERLINK("https://maps.google.com/?q=16.8882666480274,-95.030040410566798", "🔗 Ver Mapa")</f>
        <v>🔗 Ver Mapa</v>
      </c>
    </row>
    <row r="728" spans="1:12" ht="43.5" x14ac:dyDescent="0.35">
      <c r="A728" s="6" t="s">
        <v>8</v>
      </c>
      <c r="B728" s="6" t="s">
        <v>16</v>
      </c>
      <c r="C728" s="6" t="s">
        <v>175</v>
      </c>
      <c r="D728" s="6" t="s">
        <v>35</v>
      </c>
      <c r="E728" s="6" t="s">
        <v>39</v>
      </c>
      <c r="F728" s="6" t="s">
        <v>162</v>
      </c>
      <c r="G728" s="6" t="s">
        <v>176</v>
      </c>
      <c r="H728" s="6" t="s">
        <v>177</v>
      </c>
      <c r="I728" s="6" t="s">
        <v>63</v>
      </c>
      <c r="J728" s="6">
        <v>16.888895569214</v>
      </c>
      <c r="K728" s="6">
        <v>-95.029357364418004</v>
      </c>
      <c r="L728" s="6" t="str">
        <f>HYPERLINK("https://maps.google.com/?q=16.8888955692137,-95.029357364418004", "🔗 Ver Mapa")</f>
        <v>🔗 Ver Mapa</v>
      </c>
    </row>
    <row r="729" spans="1:12" ht="43.5" x14ac:dyDescent="0.35">
      <c r="A729" s="5" t="s">
        <v>8</v>
      </c>
      <c r="B729" s="5" t="s">
        <v>16</v>
      </c>
      <c r="C729" s="5" t="s">
        <v>175</v>
      </c>
      <c r="D729" s="5" t="s">
        <v>35</v>
      </c>
      <c r="E729" s="5" t="s">
        <v>39</v>
      </c>
      <c r="F729" s="5" t="s">
        <v>162</v>
      </c>
      <c r="G729" s="5" t="s">
        <v>176</v>
      </c>
      <c r="H729" s="5" t="s">
        <v>177</v>
      </c>
      <c r="I729" s="5" t="s">
        <v>63</v>
      </c>
      <c r="J729" s="5">
        <v>16.889702474153999</v>
      </c>
      <c r="K729" s="5">
        <v>-95.029489564488003</v>
      </c>
      <c r="L729" s="5" t="str">
        <f>HYPERLINK("https://maps.google.com/?q=16.8897024741541,-95.029489564487704", "🔗 Ver Mapa")</f>
        <v>🔗 Ver Mapa</v>
      </c>
    </row>
    <row r="730" spans="1:12" ht="43.5" x14ac:dyDescent="0.35">
      <c r="A730" s="6" t="s">
        <v>8</v>
      </c>
      <c r="B730" s="6" t="s">
        <v>16</v>
      </c>
      <c r="C730" s="6" t="s">
        <v>178</v>
      </c>
      <c r="D730" s="6" t="s">
        <v>35</v>
      </c>
      <c r="E730" s="6" t="s">
        <v>39</v>
      </c>
      <c r="F730" s="6" t="s">
        <v>162</v>
      </c>
      <c r="G730" s="6" t="s">
        <v>176</v>
      </c>
      <c r="H730" s="6" t="s">
        <v>179</v>
      </c>
      <c r="I730" s="6" t="s">
        <v>63</v>
      </c>
      <c r="J730" s="6">
        <v>16.888434961868001</v>
      </c>
      <c r="K730" s="6">
        <v>-95.035309693865997</v>
      </c>
      <c r="L730" s="6" t="str">
        <f>HYPERLINK("https://maps.google.com/?q=16.8884349618682,-95.035309693865599", "🔗 Ver Mapa")</f>
        <v>🔗 Ver Mapa</v>
      </c>
    </row>
    <row r="731" spans="1:12" ht="43.5" x14ac:dyDescent="0.35">
      <c r="A731" s="5" t="s">
        <v>8</v>
      </c>
      <c r="B731" s="5" t="s">
        <v>16</v>
      </c>
      <c r="C731" s="5" t="s">
        <v>178</v>
      </c>
      <c r="D731" s="5" t="s">
        <v>35</v>
      </c>
      <c r="E731" s="5" t="s">
        <v>39</v>
      </c>
      <c r="F731" s="5" t="s">
        <v>162</v>
      </c>
      <c r="G731" s="5" t="s">
        <v>176</v>
      </c>
      <c r="H731" s="5" t="s">
        <v>179</v>
      </c>
      <c r="I731" s="5" t="s">
        <v>63</v>
      </c>
      <c r="J731" s="5">
        <v>16.889462919621</v>
      </c>
      <c r="K731" s="5">
        <v>-95.034504186633001</v>
      </c>
      <c r="L731" s="5" t="str">
        <f>HYPERLINK("https://maps.google.com/?q=16.8894629196208,-95.0345041866332", "🔗 Ver Mapa")</f>
        <v>🔗 Ver Mapa</v>
      </c>
    </row>
    <row r="732" spans="1:12" ht="43.5" x14ac:dyDescent="0.35">
      <c r="A732" s="6" t="s">
        <v>8</v>
      </c>
      <c r="B732" s="6" t="s">
        <v>16</v>
      </c>
      <c r="C732" s="6" t="s">
        <v>178</v>
      </c>
      <c r="D732" s="6" t="s">
        <v>35</v>
      </c>
      <c r="E732" s="6" t="s">
        <v>39</v>
      </c>
      <c r="F732" s="6" t="s">
        <v>162</v>
      </c>
      <c r="G732" s="6" t="s">
        <v>176</v>
      </c>
      <c r="H732" s="6" t="s">
        <v>179</v>
      </c>
      <c r="I732" s="6" t="s">
        <v>63</v>
      </c>
      <c r="J732" s="6">
        <v>16.889501135722998</v>
      </c>
      <c r="K732" s="6">
        <v>-95.033967046626998</v>
      </c>
      <c r="L732" s="6" t="str">
        <f>HYPERLINK("https://maps.google.com/?q=16.8895011357225,-95.033967046626998", "🔗 Ver Mapa")</f>
        <v>🔗 Ver Mapa</v>
      </c>
    </row>
    <row r="733" spans="1:12" ht="43.5" x14ac:dyDescent="0.35">
      <c r="A733" s="5" t="s">
        <v>8</v>
      </c>
      <c r="B733" s="5" t="s">
        <v>16</v>
      </c>
      <c r="C733" s="5" t="s">
        <v>178</v>
      </c>
      <c r="D733" s="5" t="s">
        <v>35</v>
      </c>
      <c r="E733" s="5" t="s">
        <v>39</v>
      </c>
      <c r="F733" s="5" t="s">
        <v>162</v>
      </c>
      <c r="G733" s="5" t="s">
        <v>176</v>
      </c>
      <c r="H733" s="5" t="s">
        <v>179</v>
      </c>
      <c r="I733" s="5" t="s">
        <v>63</v>
      </c>
      <c r="J733" s="5">
        <v>16.890552135694001</v>
      </c>
      <c r="K733" s="5">
        <v>-95.035087728836004</v>
      </c>
      <c r="L733" s="5" t="str">
        <f>HYPERLINK("https://maps.google.com/?q=16.8905521356939,-95.035087728835805", "🔗 Ver Mapa")</f>
        <v>🔗 Ver Mapa</v>
      </c>
    </row>
    <row r="734" spans="1:12" ht="43.5" x14ac:dyDescent="0.35">
      <c r="A734" s="6" t="s">
        <v>8</v>
      </c>
      <c r="B734" s="6" t="s">
        <v>16</v>
      </c>
      <c r="C734" s="6" t="s">
        <v>180</v>
      </c>
      <c r="D734" s="6" t="s">
        <v>35</v>
      </c>
      <c r="E734" s="6" t="s">
        <v>39</v>
      </c>
      <c r="F734" s="6" t="s">
        <v>162</v>
      </c>
      <c r="G734" s="6" t="s">
        <v>176</v>
      </c>
      <c r="H734" s="6" t="s">
        <v>181</v>
      </c>
      <c r="I734" s="6" t="s">
        <v>63</v>
      </c>
      <c r="J734" s="6">
        <v>16.861148369761999</v>
      </c>
      <c r="K734" s="6">
        <v>-95.053850431743996</v>
      </c>
      <c r="L734" s="6" t="str">
        <f>HYPERLINK("https://maps.google.com/?q=16.8611483697625,-95.053850431743598", "🔗 Ver Mapa")</f>
        <v>🔗 Ver Mapa</v>
      </c>
    </row>
    <row r="735" spans="1:12" ht="43.5" x14ac:dyDescent="0.35">
      <c r="A735" s="5" t="s">
        <v>8</v>
      </c>
      <c r="B735" s="5" t="s">
        <v>16</v>
      </c>
      <c r="C735" s="5" t="s">
        <v>180</v>
      </c>
      <c r="D735" s="5" t="s">
        <v>35</v>
      </c>
      <c r="E735" s="5" t="s">
        <v>39</v>
      </c>
      <c r="F735" s="5" t="s">
        <v>162</v>
      </c>
      <c r="G735" s="5" t="s">
        <v>176</v>
      </c>
      <c r="H735" s="5" t="s">
        <v>181</v>
      </c>
      <c r="I735" s="5" t="s">
        <v>63</v>
      </c>
      <c r="J735" s="5">
        <v>16.861569569581</v>
      </c>
      <c r="K735" s="5">
        <v>-95.054267294477</v>
      </c>
      <c r="L735" s="5" t="str">
        <f>HYPERLINK("https://maps.google.com/?q=16.8615695695806,-95.054267294477498", "🔗 Ver Mapa")</f>
        <v>🔗 Ver Mapa</v>
      </c>
    </row>
    <row r="736" spans="1:12" ht="43.5" x14ac:dyDescent="0.35">
      <c r="A736" s="6" t="s">
        <v>8</v>
      </c>
      <c r="B736" s="6" t="s">
        <v>16</v>
      </c>
      <c r="C736" s="6" t="s">
        <v>180</v>
      </c>
      <c r="D736" s="6" t="s">
        <v>35</v>
      </c>
      <c r="E736" s="6" t="s">
        <v>39</v>
      </c>
      <c r="F736" s="6" t="s">
        <v>162</v>
      </c>
      <c r="G736" s="6" t="s">
        <v>176</v>
      </c>
      <c r="H736" s="6" t="s">
        <v>181</v>
      </c>
      <c r="I736" s="6" t="s">
        <v>63</v>
      </c>
      <c r="J736" s="6">
        <v>16.863251837052999</v>
      </c>
      <c r="K736" s="6">
        <v>-95.055981728836002</v>
      </c>
      <c r="L736" s="6" t="str">
        <f>HYPERLINK("https://maps.google.com/?q=16.8632518370527,-95.055981728836201", "🔗 Ver Mapa")</f>
        <v>🔗 Ver Mapa</v>
      </c>
    </row>
    <row r="737" spans="1:12" ht="43.5" x14ac:dyDescent="0.35">
      <c r="A737" s="5" t="s">
        <v>8</v>
      </c>
      <c r="B737" s="5" t="s">
        <v>16</v>
      </c>
      <c r="C737" s="5" t="s">
        <v>180</v>
      </c>
      <c r="D737" s="5" t="s">
        <v>35</v>
      </c>
      <c r="E737" s="5" t="s">
        <v>39</v>
      </c>
      <c r="F737" s="5" t="s">
        <v>162</v>
      </c>
      <c r="G737" s="5" t="s">
        <v>176</v>
      </c>
      <c r="H737" s="5" t="s">
        <v>181</v>
      </c>
      <c r="I737" s="5" t="s">
        <v>63</v>
      </c>
      <c r="J737" s="5">
        <v>16.865869145986998</v>
      </c>
      <c r="K737" s="5">
        <v>-95.053159962492998</v>
      </c>
      <c r="L737" s="5" t="str">
        <f>HYPERLINK("https://maps.google.com/?q=16.8658691459875,-95.053159962492501", "🔗 Ver Mapa")</f>
        <v>🔗 Ver Mapa</v>
      </c>
    </row>
    <row r="738" spans="1:12" ht="43.5" x14ac:dyDescent="0.35">
      <c r="A738" s="6" t="s">
        <v>8</v>
      </c>
      <c r="B738" s="6" t="s">
        <v>16</v>
      </c>
      <c r="C738" s="6" t="s">
        <v>180</v>
      </c>
      <c r="D738" s="6" t="s">
        <v>35</v>
      </c>
      <c r="E738" s="6" t="s">
        <v>39</v>
      </c>
      <c r="F738" s="6" t="s">
        <v>162</v>
      </c>
      <c r="G738" s="6" t="s">
        <v>176</v>
      </c>
      <c r="H738" s="6" t="s">
        <v>181</v>
      </c>
      <c r="I738" s="6" t="s">
        <v>63</v>
      </c>
      <c r="J738" s="6">
        <v>16.867447168601998</v>
      </c>
      <c r="K738" s="6">
        <v>-95.054338317790993</v>
      </c>
      <c r="L738" s="6" t="str">
        <f>HYPERLINK("https://maps.google.com/?q=16.8674471686025,-95.054338317791206", "🔗 Ver Mapa")</f>
        <v>🔗 Ver Mapa</v>
      </c>
    </row>
    <row r="739" spans="1:12" ht="43.5" x14ac:dyDescent="0.35">
      <c r="A739" s="5" t="s">
        <v>8</v>
      </c>
      <c r="B739" s="5" t="s">
        <v>16</v>
      </c>
      <c r="C739" s="5" t="s">
        <v>182</v>
      </c>
      <c r="D739" s="5" t="s">
        <v>35</v>
      </c>
      <c r="E739" s="5" t="s">
        <v>39</v>
      </c>
      <c r="F739" s="5" t="s">
        <v>162</v>
      </c>
      <c r="G739" s="5" t="s">
        <v>176</v>
      </c>
      <c r="H739" s="5" t="s">
        <v>183</v>
      </c>
      <c r="I739" s="5" t="s">
        <v>63</v>
      </c>
      <c r="J739" s="5">
        <v>16.879879720750999</v>
      </c>
      <c r="K739" s="5">
        <v>-95.025976407765995</v>
      </c>
      <c r="L739" s="5" t="str">
        <f>HYPERLINK("https://maps.google.com/?q=16.8798797207509,-95.0259764077664", "🔗 Ver Mapa")</f>
        <v>🔗 Ver Mapa</v>
      </c>
    </row>
    <row r="740" spans="1:12" ht="43.5" x14ac:dyDescent="0.35">
      <c r="A740" s="6" t="s">
        <v>8</v>
      </c>
      <c r="B740" s="6" t="s">
        <v>16</v>
      </c>
      <c r="C740" s="6" t="s">
        <v>182</v>
      </c>
      <c r="D740" s="6" t="s">
        <v>35</v>
      </c>
      <c r="E740" s="6" t="s">
        <v>39</v>
      </c>
      <c r="F740" s="6" t="s">
        <v>162</v>
      </c>
      <c r="G740" s="6" t="s">
        <v>176</v>
      </c>
      <c r="H740" s="6" t="s">
        <v>183</v>
      </c>
      <c r="I740" s="6" t="s">
        <v>63</v>
      </c>
      <c r="J740" s="6">
        <v>16.880039436042001</v>
      </c>
      <c r="K740" s="6">
        <v>-95.027819317791</v>
      </c>
      <c r="L740" s="6" t="str">
        <f>HYPERLINK("https://maps.google.com/?q=16.8800394360416,-95.027819317791", "🔗 Ver Mapa")</f>
        <v>🔗 Ver Mapa</v>
      </c>
    </row>
    <row r="741" spans="1:12" ht="43.5" x14ac:dyDescent="0.35">
      <c r="A741" s="5" t="s">
        <v>8</v>
      </c>
      <c r="B741" s="5" t="s">
        <v>16</v>
      </c>
      <c r="C741" s="5" t="s">
        <v>182</v>
      </c>
      <c r="D741" s="5" t="s">
        <v>35</v>
      </c>
      <c r="E741" s="5" t="s">
        <v>39</v>
      </c>
      <c r="F741" s="5" t="s">
        <v>162</v>
      </c>
      <c r="G741" s="5" t="s">
        <v>176</v>
      </c>
      <c r="H741" s="5" t="s">
        <v>183</v>
      </c>
      <c r="I741" s="5" t="s">
        <v>63</v>
      </c>
      <c r="J741" s="5">
        <v>16.880496123463999</v>
      </c>
      <c r="K741" s="5">
        <v>-95.027936999999994</v>
      </c>
      <c r="L741" s="5" t="str">
        <f>HYPERLINK("https://maps.google.com/?q=16.8804961234635,-95.027937000000094", "🔗 Ver Mapa")</f>
        <v>🔗 Ver Mapa</v>
      </c>
    </row>
    <row r="742" spans="1:12" ht="43.5" x14ac:dyDescent="0.35">
      <c r="A742" s="6" t="s">
        <v>8</v>
      </c>
      <c r="B742" s="6" t="s">
        <v>16</v>
      </c>
      <c r="C742" s="6" t="s">
        <v>182</v>
      </c>
      <c r="D742" s="6" t="s">
        <v>35</v>
      </c>
      <c r="E742" s="6" t="s">
        <v>39</v>
      </c>
      <c r="F742" s="6" t="s">
        <v>162</v>
      </c>
      <c r="G742" s="6" t="s">
        <v>176</v>
      </c>
      <c r="H742" s="6" t="s">
        <v>183</v>
      </c>
      <c r="I742" s="6" t="s">
        <v>63</v>
      </c>
      <c r="J742" s="6">
        <v>16.880530719368</v>
      </c>
      <c r="K742" s="6">
        <v>-95.027741000000006</v>
      </c>
      <c r="L742" s="6" t="str">
        <f>HYPERLINK("https://maps.google.com/?q=16.8805307193678,-95.027741000000006", "🔗 Ver Mapa")</f>
        <v>🔗 Ver Mapa</v>
      </c>
    </row>
    <row r="743" spans="1:12" ht="43.5" x14ac:dyDescent="0.35">
      <c r="A743" s="5" t="s">
        <v>8</v>
      </c>
      <c r="B743" s="5" t="s">
        <v>16</v>
      </c>
      <c r="C743" s="5" t="s">
        <v>182</v>
      </c>
      <c r="D743" s="5" t="s">
        <v>35</v>
      </c>
      <c r="E743" s="5" t="s">
        <v>39</v>
      </c>
      <c r="F743" s="5" t="s">
        <v>162</v>
      </c>
      <c r="G743" s="5" t="s">
        <v>176</v>
      </c>
      <c r="H743" s="5" t="s">
        <v>183</v>
      </c>
      <c r="I743" s="5" t="s">
        <v>63</v>
      </c>
      <c r="J743" s="5">
        <v>16.881021378204998</v>
      </c>
      <c r="K743" s="5">
        <v>-95.028053254834006</v>
      </c>
      <c r="L743" s="5" t="str">
        <f>HYPERLINK("https://maps.google.com/?q=16.8810213782045,-95.028053254834404", "🔗 Ver Mapa")</f>
        <v>🔗 Ver Mapa</v>
      </c>
    </row>
    <row r="744" spans="1:12" ht="43.5" x14ac:dyDescent="0.35">
      <c r="A744" s="6" t="s">
        <v>8</v>
      </c>
      <c r="B744" s="6" t="s">
        <v>16</v>
      </c>
      <c r="C744" s="6" t="s">
        <v>182</v>
      </c>
      <c r="D744" s="6" t="s">
        <v>35</v>
      </c>
      <c r="E744" s="6" t="s">
        <v>39</v>
      </c>
      <c r="F744" s="6" t="s">
        <v>162</v>
      </c>
      <c r="G744" s="6" t="s">
        <v>176</v>
      </c>
      <c r="H744" s="6" t="s">
        <v>183</v>
      </c>
      <c r="I744" s="6" t="s">
        <v>63</v>
      </c>
      <c r="J744" s="6">
        <v>16.881568835810999</v>
      </c>
      <c r="K744" s="6">
        <v>-95.028653542328001</v>
      </c>
      <c r="L744" s="6" t="str">
        <f>HYPERLINK("https://maps.google.com/?q=16.8815688358114,-95.028653542328101", "🔗 Ver Mapa")</f>
        <v>🔗 Ver Mapa</v>
      </c>
    </row>
    <row r="745" spans="1:12" ht="43.5" x14ac:dyDescent="0.35">
      <c r="A745" s="5" t="s">
        <v>8</v>
      </c>
      <c r="B745" s="5" t="s">
        <v>16</v>
      </c>
      <c r="C745" s="5" t="s">
        <v>182</v>
      </c>
      <c r="D745" s="5" t="s">
        <v>35</v>
      </c>
      <c r="E745" s="5" t="s">
        <v>39</v>
      </c>
      <c r="F745" s="5" t="s">
        <v>162</v>
      </c>
      <c r="G745" s="5" t="s">
        <v>176</v>
      </c>
      <c r="H745" s="5" t="s">
        <v>183</v>
      </c>
      <c r="I745" s="5" t="s">
        <v>63</v>
      </c>
      <c r="J745" s="5">
        <v>16.881695152753</v>
      </c>
      <c r="K745" s="5">
        <v>-95.027995542328</v>
      </c>
      <c r="L745" s="5" t="str">
        <f>HYPERLINK("https://maps.google.com/?q=16.881695152753,-95.027995542327801", "🔗 Ver Mapa")</f>
        <v>🔗 Ver Mapa</v>
      </c>
    </row>
    <row r="746" spans="1:12" ht="43.5" x14ac:dyDescent="0.35">
      <c r="A746" s="6" t="s">
        <v>8</v>
      </c>
      <c r="B746" s="6" t="s">
        <v>16</v>
      </c>
      <c r="C746" s="6" t="s">
        <v>182</v>
      </c>
      <c r="D746" s="6" t="s">
        <v>35</v>
      </c>
      <c r="E746" s="6" t="s">
        <v>39</v>
      </c>
      <c r="F746" s="6" t="s">
        <v>162</v>
      </c>
      <c r="G746" s="6" t="s">
        <v>176</v>
      </c>
      <c r="H746" s="6" t="s">
        <v>183</v>
      </c>
      <c r="I746" s="6" t="s">
        <v>63</v>
      </c>
      <c r="J746" s="6">
        <v>16.881929887706001</v>
      </c>
      <c r="K746" s="6">
        <v>-95.028525559523999</v>
      </c>
      <c r="L746" s="6" t="str">
        <f>HYPERLINK("https://maps.google.com/?q=16.8819298877064,-95.028525559524496", "🔗 Ver Mapa")</f>
        <v>🔗 Ver Mapa</v>
      </c>
    </row>
    <row r="747" spans="1:12" ht="43.5" x14ac:dyDescent="0.35">
      <c r="A747" s="5" t="s">
        <v>8</v>
      </c>
      <c r="B747" s="5" t="s">
        <v>16</v>
      </c>
      <c r="C747" s="5" t="s">
        <v>184</v>
      </c>
      <c r="D747" s="5" t="s">
        <v>35</v>
      </c>
      <c r="E747" s="5" t="s">
        <v>39</v>
      </c>
      <c r="F747" s="5" t="s">
        <v>162</v>
      </c>
      <c r="G747" s="5" t="s">
        <v>176</v>
      </c>
      <c r="H747" s="5" t="s">
        <v>185</v>
      </c>
      <c r="I747" s="5" t="s">
        <v>63</v>
      </c>
      <c r="J747" s="5">
        <v>16.81420188281</v>
      </c>
      <c r="K747" s="5">
        <v>-95.119915443474</v>
      </c>
      <c r="L747" s="5" t="str">
        <f>HYPERLINK("https://maps.google.com/?q=16.81420188281,-95.119915443474497", "🔗 Ver Mapa")</f>
        <v>🔗 Ver Mapa</v>
      </c>
    </row>
    <row r="748" spans="1:12" ht="43.5" x14ac:dyDescent="0.35">
      <c r="A748" s="6" t="s">
        <v>8</v>
      </c>
      <c r="B748" s="6" t="s">
        <v>16</v>
      </c>
      <c r="C748" s="6" t="s">
        <v>184</v>
      </c>
      <c r="D748" s="6" t="s">
        <v>35</v>
      </c>
      <c r="E748" s="6" t="s">
        <v>39</v>
      </c>
      <c r="F748" s="6" t="s">
        <v>162</v>
      </c>
      <c r="G748" s="6" t="s">
        <v>176</v>
      </c>
      <c r="H748" s="6" t="s">
        <v>185</v>
      </c>
      <c r="I748" s="6" t="s">
        <v>63</v>
      </c>
      <c r="J748" s="6">
        <v>16.814892354975999</v>
      </c>
      <c r="K748" s="6">
        <v>-95.119171903904004</v>
      </c>
      <c r="L748" s="6" t="str">
        <f>HYPERLINK("https://maps.google.com/?q=16.814892354976,-95.119171903903606", "🔗 Ver Mapa")</f>
        <v>🔗 Ver Mapa</v>
      </c>
    </row>
    <row r="749" spans="1:12" ht="43.5" x14ac:dyDescent="0.35">
      <c r="A749" s="5" t="s">
        <v>8</v>
      </c>
      <c r="B749" s="5" t="s">
        <v>16</v>
      </c>
      <c r="C749" s="5" t="s">
        <v>184</v>
      </c>
      <c r="D749" s="5" t="s">
        <v>35</v>
      </c>
      <c r="E749" s="5" t="s">
        <v>39</v>
      </c>
      <c r="F749" s="5" t="s">
        <v>162</v>
      </c>
      <c r="G749" s="5" t="s">
        <v>176</v>
      </c>
      <c r="H749" s="5" t="s">
        <v>185</v>
      </c>
      <c r="I749" s="5" t="s">
        <v>63</v>
      </c>
      <c r="J749" s="5">
        <v>16.815519708877002</v>
      </c>
      <c r="K749" s="5">
        <v>-95.11608871</v>
      </c>
      <c r="L749" s="5" t="str">
        <f>HYPERLINK("https://maps.google.com/?q=16.8155197088768,-95.11608871", "🔗 Ver Mapa")</f>
        <v>🔗 Ver Mapa</v>
      </c>
    </row>
    <row r="750" spans="1:12" ht="43.5" x14ac:dyDescent="0.35">
      <c r="A750" s="6" t="s">
        <v>8</v>
      </c>
      <c r="B750" s="6" t="s">
        <v>16</v>
      </c>
      <c r="C750" s="6" t="s">
        <v>184</v>
      </c>
      <c r="D750" s="6" t="s">
        <v>35</v>
      </c>
      <c r="E750" s="6" t="s">
        <v>39</v>
      </c>
      <c r="F750" s="6" t="s">
        <v>162</v>
      </c>
      <c r="G750" s="6" t="s">
        <v>176</v>
      </c>
      <c r="H750" s="6" t="s">
        <v>185</v>
      </c>
      <c r="I750" s="6" t="s">
        <v>63</v>
      </c>
      <c r="J750" s="6">
        <v>16.816246916392998</v>
      </c>
      <c r="K750" s="6">
        <v>-95.119059294417994</v>
      </c>
      <c r="L750" s="6" t="str">
        <f>HYPERLINK("https://maps.google.com/?q=16.816246916393,-95.119059294417994", "🔗 Ver Mapa")</f>
        <v>🔗 Ver Mapa</v>
      </c>
    </row>
    <row r="751" spans="1:12" ht="43.5" x14ac:dyDescent="0.35">
      <c r="A751" s="5" t="s">
        <v>8</v>
      </c>
      <c r="B751" s="5" t="s">
        <v>16</v>
      </c>
      <c r="C751" s="5" t="s">
        <v>184</v>
      </c>
      <c r="D751" s="5" t="s">
        <v>35</v>
      </c>
      <c r="E751" s="5" t="s">
        <v>39</v>
      </c>
      <c r="F751" s="5" t="s">
        <v>162</v>
      </c>
      <c r="G751" s="5" t="s">
        <v>176</v>
      </c>
      <c r="H751" s="5" t="s">
        <v>185</v>
      </c>
      <c r="I751" s="5" t="s">
        <v>63</v>
      </c>
      <c r="J751" s="5">
        <v>16.816728930099998</v>
      </c>
      <c r="K751" s="5">
        <v>-95.117834633323</v>
      </c>
      <c r="L751" s="5" t="str">
        <f>HYPERLINK("https://maps.google.com/?q=16.8167289301002,-95.117834633323397", "🔗 Ver Mapa")</f>
        <v>🔗 Ver Mapa</v>
      </c>
    </row>
    <row r="752" spans="1:12" ht="43.5" x14ac:dyDescent="0.35">
      <c r="A752" s="6" t="s">
        <v>8</v>
      </c>
      <c r="B752" s="6" t="s">
        <v>16</v>
      </c>
      <c r="C752" s="6" t="s">
        <v>184</v>
      </c>
      <c r="D752" s="6" t="s">
        <v>35</v>
      </c>
      <c r="E752" s="6" t="s">
        <v>39</v>
      </c>
      <c r="F752" s="6" t="s">
        <v>162</v>
      </c>
      <c r="G752" s="6" t="s">
        <v>176</v>
      </c>
      <c r="H752" s="6" t="s">
        <v>185</v>
      </c>
      <c r="I752" s="6" t="s">
        <v>63</v>
      </c>
      <c r="J752" s="6">
        <v>16.816757172648</v>
      </c>
      <c r="K752" s="6">
        <v>-95.117971425983001</v>
      </c>
      <c r="L752" s="6" t="str">
        <f>HYPERLINK("https://maps.google.com/?q=16.8167571726479,-95.1179714259831", "🔗 Ver Mapa")</f>
        <v>🔗 Ver Mapa</v>
      </c>
    </row>
    <row r="753" spans="1:12" ht="43.5" x14ac:dyDescent="0.35">
      <c r="A753" s="5" t="s">
        <v>8</v>
      </c>
      <c r="B753" s="5" t="s">
        <v>16</v>
      </c>
      <c r="C753" s="5" t="s">
        <v>184</v>
      </c>
      <c r="D753" s="5" t="s">
        <v>35</v>
      </c>
      <c r="E753" s="5" t="s">
        <v>39</v>
      </c>
      <c r="F753" s="5" t="s">
        <v>162</v>
      </c>
      <c r="G753" s="5" t="s">
        <v>176</v>
      </c>
      <c r="H753" s="5" t="s">
        <v>185</v>
      </c>
      <c r="I753" s="5" t="s">
        <v>63</v>
      </c>
      <c r="J753" s="5">
        <v>16.816916357838</v>
      </c>
      <c r="K753" s="5">
        <v>-95.118161862823001</v>
      </c>
      <c r="L753" s="5" t="str">
        <f>HYPERLINK("https://maps.google.com/?q=16.8169163578378,-95.118161862823101", "🔗 Ver Mapa")</f>
        <v>🔗 Ver Mapa</v>
      </c>
    </row>
    <row r="754" spans="1:12" ht="43.5" x14ac:dyDescent="0.35">
      <c r="A754" s="6" t="s">
        <v>8</v>
      </c>
      <c r="B754" s="6" t="s">
        <v>16</v>
      </c>
      <c r="C754" s="6" t="s">
        <v>184</v>
      </c>
      <c r="D754" s="6" t="s">
        <v>35</v>
      </c>
      <c r="E754" s="6" t="s">
        <v>39</v>
      </c>
      <c r="F754" s="6" t="s">
        <v>162</v>
      </c>
      <c r="G754" s="6" t="s">
        <v>176</v>
      </c>
      <c r="H754" s="6" t="s">
        <v>185</v>
      </c>
      <c r="I754" s="6" t="s">
        <v>63</v>
      </c>
      <c r="J754" s="6">
        <v>16.817790997182001</v>
      </c>
      <c r="K754" s="6">
        <v>-95.118376634255</v>
      </c>
      <c r="L754" s="6" t="str">
        <f>HYPERLINK("https://maps.google.com/?q=16.8177909971816,-95.118376634254602", "🔗 Ver Mapa")</f>
        <v>🔗 Ver Mapa</v>
      </c>
    </row>
    <row r="755" spans="1:12" ht="43.5" x14ac:dyDescent="0.35">
      <c r="A755" s="5" t="s">
        <v>8</v>
      </c>
      <c r="B755" s="5" t="s">
        <v>16</v>
      </c>
      <c r="C755" s="5" t="s">
        <v>184</v>
      </c>
      <c r="D755" s="5" t="s">
        <v>35</v>
      </c>
      <c r="E755" s="5" t="s">
        <v>39</v>
      </c>
      <c r="F755" s="5" t="s">
        <v>162</v>
      </c>
      <c r="G755" s="5" t="s">
        <v>176</v>
      </c>
      <c r="H755" s="5" t="s">
        <v>185</v>
      </c>
      <c r="I755" s="5" t="s">
        <v>63</v>
      </c>
      <c r="J755" s="5">
        <v>16.817822683871999</v>
      </c>
      <c r="K755" s="5">
        <v>-95.117386704417996</v>
      </c>
      <c r="L755" s="5" t="str">
        <f>HYPERLINK("https://maps.google.com/?q=16.8178226838723,-95.117386704417996", "🔗 Ver Mapa")</f>
        <v>🔗 Ver Mapa</v>
      </c>
    </row>
    <row r="756" spans="1:12" ht="43.5" x14ac:dyDescent="0.35">
      <c r="A756" s="6" t="s">
        <v>8</v>
      </c>
      <c r="B756" s="6" t="s">
        <v>16</v>
      </c>
      <c r="C756" s="6" t="s">
        <v>184</v>
      </c>
      <c r="D756" s="6" t="s">
        <v>35</v>
      </c>
      <c r="E756" s="6" t="s">
        <v>39</v>
      </c>
      <c r="F756" s="6" t="s">
        <v>162</v>
      </c>
      <c r="G756" s="6" t="s">
        <v>176</v>
      </c>
      <c r="H756" s="6" t="s">
        <v>185</v>
      </c>
      <c r="I756" s="6" t="s">
        <v>63</v>
      </c>
      <c r="J756" s="6">
        <v>16.817841788515</v>
      </c>
      <c r="K756" s="6">
        <v>-95.119570831109996</v>
      </c>
      <c r="L756" s="6" t="str">
        <f>HYPERLINK("https://maps.google.com/?q=16.8178417885149,-95.119570831109598", "🔗 Ver Mapa")</f>
        <v>🔗 Ver Mapa</v>
      </c>
    </row>
    <row r="757" spans="1:12" ht="43.5" x14ac:dyDescent="0.35">
      <c r="A757" s="5" t="s">
        <v>8</v>
      </c>
      <c r="B757" s="5" t="s">
        <v>16</v>
      </c>
      <c r="C757" s="5" t="s">
        <v>184</v>
      </c>
      <c r="D757" s="5" t="s">
        <v>35</v>
      </c>
      <c r="E757" s="5" t="s">
        <v>39</v>
      </c>
      <c r="F757" s="5" t="s">
        <v>162</v>
      </c>
      <c r="G757" s="5" t="s">
        <v>176</v>
      </c>
      <c r="H757" s="5" t="s">
        <v>185</v>
      </c>
      <c r="I757" s="5" t="s">
        <v>63</v>
      </c>
      <c r="J757" s="5">
        <v>16.817958862638001</v>
      </c>
      <c r="K757" s="5">
        <v>-95.118361062209004</v>
      </c>
      <c r="L757" s="5" t="str">
        <f>HYPERLINK("https://maps.google.com/?q=16.8179588626377,-95.118361062209004", "🔗 Ver Mapa")</f>
        <v>🔗 Ver Mapa</v>
      </c>
    </row>
    <row r="758" spans="1:12" ht="43.5" x14ac:dyDescent="0.35">
      <c r="A758" s="6" t="s">
        <v>8</v>
      </c>
      <c r="B758" s="6" t="s">
        <v>16</v>
      </c>
      <c r="C758" s="6" t="s">
        <v>184</v>
      </c>
      <c r="D758" s="6" t="s">
        <v>35</v>
      </c>
      <c r="E758" s="6" t="s">
        <v>39</v>
      </c>
      <c r="F758" s="6" t="s">
        <v>162</v>
      </c>
      <c r="G758" s="6" t="s">
        <v>176</v>
      </c>
      <c r="H758" s="6" t="s">
        <v>185</v>
      </c>
      <c r="I758" s="6" t="s">
        <v>63</v>
      </c>
      <c r="J758" s="6">
        <v>16.817967847613001</v>
      </c>
      <c r="K758" s="6">
        <v>-95.119373068895001</v>
      </c>
      <c r="L758" s="6" t="str">
        <f>HYPERLINK("https://maps.google.com/?q=16.8179678476133,-95.119373068895499", "🔗 Ver Mapa")</f>
        <v>🔗 Ver Mapa</v>
      </c>
    </row>
    <row r="759" spans="1:12" ht="43.5" x14ac:dyDescent="0.35">
      <c r="A759" s="5" t="s">
        <v>8</v>
      </c>
      <c r="B759" s="5" t="s">
        <v>16</v>
      </c>
      <c r="C759" s="5" t="s">
        <v>184</v>
      </c>
      <c r="D759" s="5" t="s">
        <v>35</v>
      </c>
      <c r="E759" s="5" t="s">
        <v>39</v>
      </c>
      <c r="F759" s="5" t="s">
        <v>162</v>
      </c>
      <c r="G759" s="5" t="s">
        <v>176</v>
      </c>
      <c r="H759" s="5" t="s">
        <v>185</v>
      </c>
      <c r="I759" s="5" t="s">
        <v>63</v>
      </c>
      <c r="J759" s="5">
        <v>16.817973288893999</v>
      </c>
      <c r="K759" s="5">
        <v>-95.119015000000005</v>
      </c>
      <c r="L759" s="5" t="str">
        <f>HYPERLINK("https://maps.google.com/?q=16.8179732888939,-95.119015000000005", "🔗 Ver Mapa")</f>
        <v>🔗 Ver Mapa</v>
      </c>
    </row>
    <row r="760" spans="1:12" ht="43.5" x14ac:dyDescent="0.35">
      <c r="A760" s="6" t="s">
        <v>8</v>
      </c>
      <c r="B760" s="6" t="s">
        <v>16</v>
      </c>
      <c r="C760" s="6" t="s">
        <v>184</v>
      </c>
      <c r="D760" s="6" t="s">
        <v>35</v>
      </c>
      <c r="E760" s="6" t="s">
        <v>39</v>
      </c>
      <c r="F760" s="6" t="s">
        <v>162</v>
      </c>
      <c r="G760" s="6" t="s">
        <v>176</v>
      </c>
      <c r="H760" s="6" t="s">
        <v>185</v>
      </c>
      <c r="I760" s="6" t="s">
        <v>63</v>
      </c>
      <c r="J760" s="6">
        <v>16.818037718894001</v>
      </c>
      <c r="K760" s="6">
        <v>-95.117682000000002</v>
      </c>
      <c r="L760" s="6" t="str">
        <f>HYPERLINK("https://maps.google.com/?q=16.8180377188943,-95.117682000000002", "🔗 Ver Mapa")</f>
        <v>🔗 Ver Mapa</v>
      </c>
    </row>
    <row r="761" spans="1:12" ht="43.5" x14ac:dyDescent="0.35">
      <c r="A761" s="5" t="s">
        <v>8</v>
      </c>
      <c r="B761" s="5" t="s">
        <v>16</v>
      </c>
      <c r="C761" s="5" t="s">
        <v>184</v>
      </c>
      <c r="D761" s="5" t="s">
        <v>35</v>
      </c>
      <c r="E761" s="5" t="s">
        <v>39</v>
      </c>
      <c r="F761" s="5" t="s">
        <v>162</v>
      </c>
      <c r="G761" s="5" t="s">
        <v>176</v>
      </c>
      <c r="H761" s="5" t="s">
        <v>185</v>
      </c>
      <c r="I761" s="5" t="s">
        <v>63</v>
      </c>
      <c r="J761" s="5">
        <v>16.818096528262</v>
      </c>
      <c r="K761" s="5">
        <v>-95.118568412198996</v>
      </c>
      <c r="L761" s="5" t="str">
        <f>HYPERLINK("https://maps.google.com/?q=16.818096528262,-95.118568412199195", "🔗 Ver Mapa")</f>
        <v>🔗 Ver Mapa</v>
      </c>
    </row>
    <row r="762" spans="1:12" ht="43.5" x14ac:dyDescent="0.35">
      <c r="A762" s="6" t="s">
        <v>8</v>
      </c>
      <c r="B762" s="6" t="s">
        <v>16</v>
      </c>
      <c r="C762" s="6" t="s">
        <v>184</v>
      </c>
      <c r="D762" s="6" t="s">
        <v>35</v>
      </c>
      <c r="E762" s="6" t="s">
        <v>39</v>
      </c>
      <c r="F762" s="6" t="s">
        <v>162</v>
      </c>
      <c r="G762" s="6" t="s">
        <v>176</v>
      </c>
      <c r="H762" s="6" t="s">
        <v>185</v>
      </c>
      <c r="I762" s="6" t="s">
        <v>63</v>
      </c>
      <c r="J762" s="6">
        <v>16.818157106992999</v>
      </c>
      <c r="K762" s="6">
        <v>-95.120004793006004</v>
      </c>
      <c r="L762" s="6" t="str">
        <f>HYPERLINK("https://maps.google.com/?q=16.8181571069928,-95.120004793006203", "🔗 Ver Mapa")</f>
        <v>🔗 Ver Mapa</v>
      </c>
    </row>
    <row r="763" spans="1:12" ht="43.5" x14ac:dyDescent="0.35">
      <c r="A763" s="5" t="s">
        <v>8</v>
      </c>
      <c r="B763" s="5" t="s">
        <v>16</v>
      </c>
      <c r="C763" s="5" t="s">
        <v>184</v>
      </c>
      <c r="D763" s="5" t="s">
        <v>35</v>
      </c>
      <c r="E763" s="5" t="s">
        <v>39</v>
      </c>
      <c r="F763" s="5" t="s">
        <v>162</v>
      </c>
      <c r="G763" s="5" t="s">
        <v>176</v>
      </c>
      <c r="H763" s="5" t="s">
        <v>185</v>
      </c>
      <c r="I763" s="5" t="s">
        <v>63</v>
      </c>
      <c r="J763" s="5">
        <v>16.818212353863998</v>
      </c>
      <c r="K763" s="5">
        <v>-95.120316000000003</v>
      </c>
      <c r="L763" s="5" t="str">
        <f>HYPERLINK("https://maps.google.com/?q=16.8182123538644,-95.120316000000003", "🔗 Ver Mapa")</f>
        <v>🔗 Ver Mapa</v>
      </c>
    </row>
    <row r="764" spans="1:12" ht="43.5" x14ac:dyDescent="0.35">
      <c r="A764" s="6" t="s">
        <v>8</v>
      </c>
      <c r="B764" s="6" t="s">
        <v>16</v>
      </c>
      <c r="C764" s="6" t="s">
        <v>184</v>
      </c>
      <c r="D764" s="6" t="s">
        <v>35</v>
      </c>
      <c r="E764" s="6" t="s">
        <v>39</v>
      </c>
      <c r="F764" s="6" t="s">
        <v>162</v>
      </c>
      <c r="G764" s="6" t="s">
        <v>176</v>
      </c>
      <c r="H764" s="6" t="s">
        <v>185</v>
      </c>
      <c r="I764" s="6" t="s">
        <v>63</v>
      </c>
      <c r="J764" s="6">
        <v>16.819346153842002</v>
      </c>
      <c r="K764" s="6">
        <v>-95.117520042208994</v>
      </c>
      <c r="L764" s="6" t="str">
        <f>HYPERLINK("https://maps.google.com/?q=16.8193461538416,-95.117520042208994", "🔗 Ver Mapa")</f>
        <v>🔗 Ver Mapa</v>
      </c>
    </row>
    <row r="765" spans="1:12" ht="43.5" x14ac:dyDescent="0.35">
      <c r="A765" s="5" t="s">
        <v>8</v>
      </c>
      <c r="B765" s="5" t="s">
        <v>16</v>
      </c>
      <c r="C765" s="5" t="s">
        <v>184</v>
      </c>
      <c r="D765" s="5" t="s">
        <v>35</v>
      </c>
      <c r="E765" s="5" t="s">
        <v>39</v>
      </c>
      <c r="F765" s="5" t="s">
        <v>162</v>
      </c>
      <c r="G765" s="5" t="s">
        <v>176</v>
      </c>
      <c r="H765" s="5" t="s">
        <v>185</v>
      </c>
      <c r="I765" s="5" t="s">
        <v>63</v>
      </c>
      <c r="J765" s="5">
        <v>16.819506315653999</v>
      </c>
      <c r="K765" s="5">
        <v>-95.119672199088001</v>
      </c>
      <c r="L765" s="5" t="str">
        <f>HYPERLINK("https://maps.google.com/?q=16.8195063156536,-95.119672199088399", "🔗 Ver Mapa")</f>
        <v>🔗 Ver Mapa</v>
      </c>
    </row>
    <row r="766" spans="1:12" ht="43.5" x14ac:dyDescent="0.35">
      <c r="A766" s="6" t="s">
        <v>8</v>
      </c>
      <c r="B766" s="6" t="s">
        <v>16</v>
      </c>
      <c r="C766" s="6" t="s">
        <v>184</v>
      </c>
      <c r="D766" s="6" t="s">
        <v>35</v>
      </c>
      <c r="E766" s="6" t="s">
        <v>39</v>
      </c>
      <c r="F766" s="6" t="s">
        <v>162</v>
      </c>
      <c r="G766" s="6" t="s">
        <v>176</v>
      </c>
      <c r="H766" s="6" t="s">
        <v>185</v>
      </c>
      <c r="I766" s="6" t="s">
        <v>63</v>
      </c>
      <c r="J766" s="6">
        <v>16.819644831440002</v>
      </c>
      <c r="K766" s="6">
        <v>-95.122453140000005</v>
      </c>
      <c r="L766" s="6" t="str">
        <f>HYPERLINK("https://maps.google.com/?q=16.8196448314405,-95.122453140000005", "🔗 Ver Mapa")</f>
        <v>🔗 Ver Mapa</v>
      </c>
    </row>
    <row r="767" spans="1:12" ht="43.5" x14ac:dyDescent="0.35">
      <c r="A767" s="5" t="s">
        <v>8</v>
      </c>
      <c r="B767" s="5" t="s">
        <v>16</v>
      </c>
      <c r="C767" s="5" t="s">
        <v>184</v>
      </c>
      <c r="D767" s="5" t="s">
        <v>35</v>
      </c>
      <c r="E767" s="5" t="s">
        <v>39</v>
      </c>
      <c r="F767" s="5" t="s">
        <v>162</v>
      </c>
      <c r="G767" s="5" t="s">
        <v>176</v>
      </c>
      <c r="H767" s="5" t="s">
        <v>185</v>
      </c>
      <c r="I767" s="5" t="s">
        <v>63</v>
      </c>
      <c r="J767" s="5">
        <v>16.820098853826</v>
      </c>
      <c r="K767" s="5">
        <v>-95.119846949999996</v>
      </c>
      <c r="L767" s="5" t="str">
        <f>HYPERLINK("https://maps.google.com/?q=16.8200988538264,-95.119846949999996", "🔗 Ver Mapa")</f>
        <v>🔗 Ver Mapa</v>
      </c>
    </row>
    <row r="768" spans="1:12" ht="43.5" x14ac:dyDescent="0.35">
      <c r="A768" s="6" t="s">
        <v>8</v>
      </c>
      <c r="B768" s="6" t="s">
        <v>16</v>
      </c>
      <c r="C768" s="6" t="s">
        <v>184</v>
      </c>
      <c r="D768" s="6" t="s">
        <v>35</v>
      </c>
      <c r="E768" s="6" t="s">
        <v>39</v>
      </c>
      <c r="F768" s="6" t="s">
        <v>162</v>
      </c>
      <c r="G768" s="6" t="s">
        <v>176</v>
      </c>
      <c r="H768" s="6" t="s">
        <v>185</v>
      </c>
      <c r="I768" s="6" t="s">
        <v>63</v>
      </c>
      <c r="J768" s="6">
        <v>16.82027858891</v>
      </c>
      <c r="K768" s="6">
        <v>-95.119367587791004</v>
      </c>
      <c r="L768" s="6" t="str">
        <f>HYPERLINK("https://maps.google.com/?q=16.8202785889099,-95.119367587791004", "🔗 Ver Mapa")</f>
        <v>🔗 Ver Mapa</v>
      </c>
    </row>
    <row r="769" spans="1:12" ht="43.5" x14ac:dyDescent="0.35">
      <c r="A769" s="5" t="s">
        <v>8</v>
      </c>
      <c r="B769" s="5" t="s">
        <v>16</v>
      </c>
      <c r="C769" s="5" t="s">
        <v>184</v>
      </c>
      <c r="D769" s="5" t="s">
        <v>35</v>
      </c>
      <c r="E769" s="5" t="s">
        <v>39</v>
      </c>
      <c r="F769" s="5" t="s">
        <v>162</v>
      </c>
      <c r="G769" s="5" t="s">
        <v>176</v>
      </c>
      <c r="H769" s="5" t="s">
        <v>185</v>
      </c>
      <c r="I769" s="5" t="s">
        <v>63</v>
      </c>
      <c r="J769" s="5">
        <v>16.820846401265001</v>
      </c>
      <c r="K769" s="5">
        <v>-95.117767320851996</v>
      </c>
      <c r="L769" s="5" t="str">
        <f>HYPERLINK("https://maps.google.com/?q=16.8208464012654,-95.117767320852394", "🔗 Ver Mapa")</f>
        <v>🔗 Ver Mapa</v>
      </c>
    </row>
    <row r="770" spans="1:12" ht="43.5" x14ac:dyDescent="0.35">
      <c r="A770" s="6" t="s">
        <v>8</v>
      </c>
      <c r="B770" s="6" t="s">
        <v>16</v>
      </c>
      <c r="C770" s="6" t="s">
        <v>184</v>
      </c>
      <c r="D770" s="6" t="s">
        <v>35</v>
      </c>
      <c r="E770" s="6" t="s">
        <v>39</v>
      </c>
      <c r="F770" s="6" t="s">
        <v>162</v>
      </c>
      <c r="G770" s="6" t="s">
        <v>176</v>
      </c>
      <c r="H770" s="6" t="s">
        <v>185</v>
      </c>
      <c r="I770" s="6" t="s">
        <v>63</v>
      </c>
      <c r="J770" s="6">
        <v>16.821332736359</v>
      </c>
      <c r="K770" s="6">
        <v>-95.121522093105</v>
      </c>
      <c r="L770" s="6" t="str">
        <f>HYPERLINK("https://maps.google.com/?q=16.8213327363589,-95.121522093105298", "🔗 Ver Mapa")</f>
        <v>🔗 Ver Mapa</v>
      </c>
    </row>
    <row r="771" spans="1:12" ht="43.5" x14ac:dyDescent="0.35">
      <c r="A771" s="5" t="s">
        <v>8</v>
      </c>
      <c r="B771" s="5" t="s">
        <v>16</v>
      </c>
      <c r="C771" s="5" t="s">
        <v>184</v>
      </c>
      <c r="D771" s="5" t="s">
        <v>35</v>
      </c>
      <c r="E771" s="5" t="s">
        <v>39</v>
      </c>
      <c r="F771" s="5" t="s">
        <v>162</v>
      </c>
      <c r="G771" s="5" t="s">
        <v>176</v>
      </c>
      <c r="H771" s="5" t="s">
        <v>185</v>
      </c>
      <c r="I771" s="5" t="s">
        <v>63</v>
      </c>
      <c r="J771" s="5">
        <v>16.821548306358</v>
      </c>
      <c r="K771" s="5">
        <v>-95.121444711104999</v>
      </c>
      <c r="L771" s="5" t="str">
        <f>HYPERLINK("https://maps.google.com/?q=16.8215483063579,-95.121444711104502", "🔗 Ver Mapa")</f>
        <v>🔗 Ver Mapa</v>
      </c>
    </row>
    <row r="772" spans="1:12" ht="43.5" x14ac:dyDescent="0.35">
      <c r="A772" s="6" t="s">
        <v>8</v>
      </c>
      <c r="B772" s="6" t="s">
        <v>16</v>
      </c>
      <c r="C772" s="6" t="s">
        <v>184</v>
      </c>
      <c r="D772" s="6" t="s">
        <v>35</v>
      </c>
      <c r="E772" s="6" t="s">
        <v>39</v>
      </c>
      <c r="F772" s="6" t="s">
        <v>162</v>
      </c>
      <c r="G772" s="6" t="s">
        <v>176</v>
      </c>
      <c r="H772" s="6" t="s">
        <v>185</v>
      </c>
      <c r="I772" s="6" t="s">
        <v>63</v>
      </c>
      <c r="J772" s="6">
        <v>16.821749735743001</v>
      </c>
      <c r="K772" s="6">
        <v>-95.122363615259999</v>
      </c>
      <c r="L772" s="6" t="str">
        <f>HYPERLINK("https://maps.google.com/?q=16.8217497357427,-95.122363615259701", "🔗 Ver Mapa")</f>
        <v>🔗 Ver Mapa</v>
      </c>
    </row>
    <row r="773" spans="1:12" ht="43.5" x14ac:dyDescent="0.35">
      <c r="A773" s="5" t="s">
        <v>8</v>
      </c>
      <c r="B773" s="5" t="s">
        <v>16</v>
      </c>
      <c r="C773" s="5" t="s">
        <v>184</v>
      </c>
      <c r="D773" s="5" t="s">
        <v>35</v>
      </c>
      <c r="E773" s="5" t="s">
        <v>39</v>
      </c>
      <c r="F773" s="5" t="s">
        <v>162</v>
      </c>
      <c r="G773" s="5" t="s">
        <v>176</v>
      </c>
      <c r="H773" s="5" t="s">
        <v>185</v>
      </c>
      <c r="I773" s="5" t="s">
        <v>63</v>
      </c>
      <c r="J773" s="5">
        <v>16.821848791531</v>
      </c>
      <c r="K773" s="5">
        <v>-95.116892600347001</v>
      </c>
      <c r="L773" s="5" t="str">
        <f>HYPERLINK("https://maps.google.com/?q=16.8218487915312,-95.116892600347001", "🔗 Ver Mapa")</f>
        <v>🔗 Ver Mapa</v>
      </c>
    </row>
    <row r="774" spans="1:12" ht="43.5" x14ac:dyDescent="0.35">
      <c r="A774" s="6" t="s">
        <v>8</v>
      </c>
      <c r="B774" s="6" t="s">
        <v>16</v>
      </c>
      <c r="C774" s="6" t="s">
        <v>184</v>
      </c>
      <c r="D774" s="6" t="s">
        <v>35</v>
      </c>
      <c r="E774" s="6" t="s">
        <v>39</v>
      </c>
      <c r="F774" s="6" t="s">
        <v>162</v>
      </c>
      <c r="G774" s="6" t="s">
        <v>176</v>
      </c>
      <c r="H774" s="6" t="s">
        <v>185</v>
      </c>
      <c r="I774" s="6" t="s">
        <v>63</v>
      </c>
      <c r="J774" s="6">
        <v>16.822119858922999</v>
      </c>
      <c r="K774" s="6">
        <v>-95.117225977790994</v>
      </c>
      <c r="L774" s="6" t="str">
        <f>HYPERLINK("https://maps.google.com/?q=16.8221198589227,-95.117225977790994", "🔗 Ver Mapa")</f>
        <v>🔗 Ver Mapa</v>
      </c>
    </row>
    <row r="775" spans="1:12" ht="43.5" x14ac:dyDescent="0.35">
      <c r="A775" s="5" t="s">
        <v>8</v>
      </c>
      <c r="B775" s="5" t="s">
        <v>16</v>
      </c>
      <c r="C775" s="5" t="s">
        <v>184</v>
      </c>
      <c r="D775" s="5" t="s">
        <v>35</v>
      </c>
      <c r="E775" s="5" t="s">
        <v>39</v>
      </c>
      <c r="F775" s="5" t="s">
        <v>162</v>
      </c>
      <c r="G775" s="5" t="s">
        <v>176</v>
      </c>
      <c r="H775" s="5" t="s">
        <v>185</v>
      </c>
      <c r="I775" s="5" t="s">
        <v>63</v>
      </c>
      <c r="J775" s="5">
        <v>16.823005208040001</v>
      </c>
      <c r="K775" s="5">
        <v>-95.117830682025996</v>
      </c>
      <c r="L775" s="5" t="str">
        <f>HYPERLINK("https://maps.google.com/?q=16.8230052080396,-95.117830682025996", "🔗 Ver Mapa")</f>
        <v>🔗 Ver Mapa</v>
      </c>
    </row>
    <row r="776" spans="1:12" ht="43.5" x14ac:dyDescent="0.35">
      <c r="A776" s="6" t="s">
        <v>8</v>
      </c>
      <c r="B776" s="6" t="s">
        <v>16</v>
      </c>
      <c r="C776" s="6" t="s">
        <v>184</v>
      </c>
      <c r="D776" s="6" t="s">
        <v>35</v>
      </c>
      <c r="E776" s="6" t="s">
        <v>39</v>
      </c>
      <c r="F776" s="6" t="s">
        <v>162</v>
      </c>
      <c r="G776" s="6" t="s">
        <v>176</v>
      </c>
      <c r="H776" s="6" t="s">
        <v>185</v>
      </c>
      <c r="I776" s="6" t="s">
        <v>63</v>
      </c>
      <c r="J776" s="6">
        <v>16.823115607045999</v>
      </c>
      <c r="K776" s="6">
        <v>-95.118037212120001</v>
      </c>
      <c r="L776" s="6" t="str">
        <f>HYPERLINK("https://maps.google.com/?q=16.8231156070462,-95.118037212120001", "🔗 Ver Mapa")</f>
        <v>🔗 Ver Mapa</v>
      </c>
    </row>
    <row r="777" spans="1:12" ht="43.5" x14ac:dyDescent="0.35">
      <c r="A777" s="5" t="s">
        <v>8</v>
      </c>
      <c r="B777" s="5" t="s">
        <v>16</v>
      </c>
      <c r="C777" s="5" t="s">
        <v>184</v>
      </c>
      <c r="D777" s="5" t="s">
        <v>35</v>
      </c>
      <c r="E777" s="5" t="s">
        <v>39</v>
      </c>
      <c r="F777" s="5" t="s">
        <v>162</v>
      </c>
      <c r="G777" s="5" t="s">
        <v>176</v>
      </c>
      <c r="H777" s="5" t="s">
        <v>185</v>
      </c>
      <c r="I777" s="5" t="s">
        <v>63</v>
      </c>
      <c r="J777" s="5">
        <v>16.823133963770999</v>
      </c>
      <c r="K777" s="5">
        <v>-95.119854532565995</v>
      </c>
      <c r="L777" s="5" t="str">
        <f>HYPERLINK("https://maps.google.com/?q=16.8231339637706,-95.119854532565597", "🔗 Ver Mapa")</f>
        <v>🔗 Ver Mapa</v>
      </c>
    </row>
    <row r="778" spans="1:12" ht="43.5" x14ac:dyDescent="0.35">
      <c r="A778" s="6" t="s">
        <v>8</v>
      </c>
      <c r="B778" s="6" t="s">
        <v>16</v>
      </c>
      <c r="C778" s="6" t="s">
        <v>184</v>
      </c>
      <c r="D778" s="6" t="s">
        <v>35</v>
      </c>
      <c r="E778" s="6" t="s">
        <v>39</v>
      </c>
      <c r="F778" s="6" t="s">
        <v>162</v>
      </c>
      <c r="G778" s="6" t="s">
        <v>176</v>
      </c>
      <c r="H778" s="6" t="s">
        <v>185</v>
      </c>
      <c r="I778" s="6" t="s">
        <v>63</v>
      </c>
      <c r="J778" s="6">
        <v>16.823317358760001</v>
      </c>
      <c r="K778" s="6">
        <v>-95.120408976364999</v>
      </c>
      <c r="L778" s="6" t="str">
        <f>HYPERLINK("https://maps.google.com/?q=16.8233173587597,-95.120408976364502", "🔗 Ver Mapa")</f>
        <v>🔗 Ver Mapa</v>
      </c>
    </row>
    <row r="779" spans="1:12" ht="43.5" x14ac:dyDescent="0.35">
      <c r="A779" s="5" t="s">
        <v>8</v>
      </c>
      <c r="B779" s="5" t="s">
        <v>16</v>
      </c>
      <c r="C779" s="5" t="s">
        <v>184</v>
      </c>
      <c r="D779" s="5" t="s">
        <v>35</v>
      </c>
      <c r="E779" s="5" t="s">
        <v>39</v>
      </c>
      <c r="F779" s="5" t="s">
        <v>162</v>
      </c>
      <c r="G779" s="5" t="s">
        <v>176</v>
      </c>
      <c r="H779" s="5" t="s">
        <v>185</v>
      </c>
      <c r="I779" s="5" t="s">
        <v>63</v>
      </c>
      <c r="J779" s="5">
        <v>16.823449371093002</v>
      </c>
      <c r="K779" s="5">
        <v>-95.118538785205999</v>
      </c>
      <c r="L779" s="5" t="str">
        <f>HYPERLINK("https://maps.google.com/?q=16.8234493710935,-95.1185387852057", "🔗 Ver Mapa")</f>
        <v>🔗 Ver Mapa</v>
      </c>
    </row>
    <row r="780" spans="1:12" ht="43.5" x14ac:dyDescent="0.35">
      <c r="A780" s="6" t="s">
        <v>8</v>
      </c>
      <c r="B780" s="6" t="s">
        <v>16</v>
      </c>
      <c r="C780" s="6" t="s">
        <v>184</v>
      </c>
      <c r="D780" s="6" t="s">
        <v>35</v>
      </c>
      <c r="E780" s="6" t="s">
        <v>39</v>
      </c>
      <c r="F780" s="6" t="s">
        <v>162</v>
      </c>
      <c r="G780" s="6" t="s">
        <v>176</v>
      </c>
      <c r="H780" s="6" t="s">
        <v>185</v>
      </c>
      <c r="I780" s="6" t="s">
        <v>63</v>
      </c>
      <c r="J780" s="6">
        <v>16.823535588933002</v>
      </c>
      <c r="K780" s="6">
        <v>-95.120121979999993</v>
      </c>
      <c r="L780" s="6" t="str">
        <f>HYPERLINK("https://maps.google.com/?q=16.8235355889325,-95.120121979999993", "🔗 Ver Mapa")</f>
        <v>🔗 Ver Mapa</v>
      </c>
    </row>
    <row r="781" spans="1:12" ht="43.5" x14ac:dyDescent="0.35">
      <c r="A781" s="5" t="s">
        <v>8</v>
      </c>
      <c r="B781" s="5" t="s">
        <v>16</v>
      </c>
      <c r="C781" s="5" t="s">
        <v>184</v>
      </c>
      <c r="D781" s="5" t="s">
        <v>35</v>
      </c>
      <c r="E781" s="5" t="s">
        <v>39</v>
      </c>
      <c r="F781" s="5" t="s">
        <v>162</v>
      </c>
      <c r="G781" s="5" t="s">
        <v>176</v>
      </c>
      <c r="H781" s="5" t="s">
        <v>185</v>
      </c>
      <c r="I781" s="5" t="s">
        <v>63</v>
      </c>
      <c r="J781" s="5">
        <v>16.823886215681</v>
      </c>
      <c r="K781" s="5">
        <v>-95.119945727672004</v>
      </c>
      <c r="L781" s="5" t="str">
        <f>HYPERLINK("https://maps.google.com/?q=16.8238862156814,-95.119945727672103", "🔗 Ver Mapa")</f>
        <v>🔗 Ver Mapa</v>
      </c>
    </row>
    <row r="782" spans="1:12" ht="43.5" x14ac:dyDescent="0.35">
      <c r="A782" s="6" t="s">
        <v>8</v>
      </c>
      <c r="B782" s="6" t="s">
        <v>16</v>
      </c>
      <c r="C782" s="6" t="s">
        <v>184</v>
      </c>
      <c r="D782" s="6" t="s">
        <v>35</v>
      </c>
      <c r="E782" s="6" t="s">
        <v>39</v>
      </c>
      <c r="F782" s="6" t="s">
        <v>162</v>
      </c>
      <c r="G782" s="6" t="s">
        <v>176</v>
      </c>
      <c r="H782" s="6" t="s">
        <v>185</v>
      </c>
      <c r="I782" s="6" t="s">
        <v>63</v>
      </c>
      <c r="J782" s="6">
        <v>16.823961718934999</v>
      </c>
      <c r="K782" s="6">
        <v>-95.120671685581996</v>
      </c>
      <c r="L782" s="6" t="str">
        <f>HYPERLINK("https://maps.google.com/?q=16.8239617189354,-95.120671685581996", "🔗 Ver Mapa")</f>
        <v>🔗 Ver Mapa</v>
      </c>
    </row>
    <row r="783" spans="1:12" ht="43.5" x14ac:dyDescent="0.35">
      <c r="A783" s="5" t="s">
        <v>8</v>
      </c>
      <c r="B783" s="5" t="s">
        <v>16</v>
      </c>
      <c r="C783" s="5" t="s">
        <v>184</v>
      </c>
      <c r="D783" s="5" t="s">
        <v>35</v>
      </c>
      <c r="E783" s="5" t="s">
        <v>39</v>
      </c>
      <c r="F783" s="5" t="s">
        <v>162</v>
      </c>
      <c r="G783" s="5" t="s">
        <v>176</v>
      </c>
      <c r="H783" s="5" t="s">
        <v>185</v>
      </c>
      <c r="I783" s="5" t="s">
        <v>63</v>
      </c>
      <c r="J783" s="5">
        <v>16.824073636341002</v>
      </c>
      <c r="K783" s="5">
        <v>-95.119921587790998</v>
      </c>
      <c r="L783" s="5" t="str">
        <f>HYPERLINK("https://maps.google.com/?q=16.8240736363413,-95.119921587790998", "🔗 Ver Mapa")</f>
        <v>🔗 Ver Mapa</v>
      </c>
    </row>
    <row r="784" spans="1:12" ht="43.5" x14ac:dyDescent="0.35">
      <c r="A784" s="6" t="s">
        <v>8</v>
      </c>
      <c r="B784" s="6" t="s">
        <v>16</v>
      </c>
      <c r="C784" s="6" t="s">
        <v>184</v>
      </c>
      <c r="D784" s="6" t="s">
        <v>35</v>
      </c>
      <c r="E784" s="6" t="s">
        <v>39</v>
      </c>
      <c r="F784" s="6" t="s">
        <v>162</v>
      </c>
      <c r="G784" s="6" t="s">
        <v>176</v>
      </c>
      <c r="H784" s="6" t="s">
        <v>185</v>
      </c>
      <c r="I784" s="6" t="s">
        <v>63</v>
      </c>
      <c r="J784" s="6">
        <v>16.825523293717001</v>
      </c>
      <c r="K784" s="6">
        <v>-95.115434320000006</v>
      </c>
      <c r="L784" s="6" t="str">
        <f>HYPERLINK("https://maps.google.com/?q=16.8255232937171,-95.115434320000006", "🔗 Ver Mapa")</f>
        <v>🔗 Ver Mapa</v>
      </c>
    </row>
    <row r="785" spans="1:12" ht="43.5" x14ac:dyDescent="0.35">
      <c r="A785" s="5" t="s">
        <v>8</v>
      </c>
      <c r="B785" s="5" t="s">
        <v>16</v>
      </c>
      <c r="C785" s="5" t="s">
        <v>184</v>
      </c>
      <c r="D785" s="5" t="s">
        <v>35</v>
      </c>
      <c r="E785" s="5" t="s">
        <v>39</v>
      </c>
      <c r="F785" s="5" t="s">
        <v>162</v>
      </c>
      <c r="G785" s="5" t="s">
        <v>176</v>
      </c>
      <c r="H785" s="5" t="s">
        <v>185</v>
      </c>
      <c r="I785" s="5" t="s">
        <v>63</v>
      </c>
      <c r="J785" s="5">
        <v>16.826765960010999</v>
      </c>
      <c r="K785" s="5">
        <v>-95.112966874834001</v>
      </c>
      <c r="L785" s="5" t="str">
        <f>HYPERLINK("https://maps.google.com/?q=16.8267659600109,-95.112966874834299", "🔗 Ver Mapa")</f>
        <v>🔗 Ver Mapa</v>
      </c>
    </row>
    <row r="786" spans="1:12" ht="43.5" x14ac:dyDescent="0.35">
      <c r="A786" s="6" t="s">
        <v>8</v>
      </c>
      <c r="B786" s="6" t="s">
        <v>16</v>
      </c>
      <c r="C786" s="6" t="s">
        <v>186</v>
      </c>
      <c r="D786" s="6" t="s">
        <v>35</v>
      </c>
      <c r="E786" s="6" t="s">
        <v>39</v>
      </c>
      <c r="F786" s="6" t="s">
        <v>162</v>
      </c>
      <c r="G786" s="6" t="s">
        <v>176</v>
      </c>
      <c r="H786" s="6" t="s">
        <v>187</v>
      </c>
      <c r="I786" s="6" t="s">
        <v>63</v>
      </c>
      <c r="J786" s="6">
        <v>16.884566</v>
      </c>
      <c r="K786" s="6">
        <v>-95.019361000000004</v>
      </c>
      <c r="L786" s="6" t="str">
        <f>HYPERLINK("https://maps.google.com/?q=16.884566,-95.019361000000004", "🔗 Ver Mapa")</f>
        <v>🔗 Ver Mapa</v>
      </c>
    </row>
    <row r="787" spans="1:12" ht="43.5" x14ac:dyDescent="0.35">
      <c r="A787" s="5" t="s">
        <v>8</v>
      </c>
      <c r="B787" s="5" t="s">
        <v>16</v>
      </c>
      <c r="C787" s="5" t="s">
        <v>186</v>
      </c>
      <c r="D787" s="5" t="s">
        <v>35</v>
      </c>
      <c r="E787" s="5" t="s">
        <v>39</v>
      </c>
      <c r="F787" s="5" t="s">
        <v>162</v>
      </c>
      <c r="G787" s="5" t="s">
        <v>176</v>
      </c>
      <c r="H787" s="5" t="s">
        <v>187</v>
      </c>
      <c r="I787" s="5" t="s">
        <v>63</v>
      </c>
      <c r="J787" s="5">
        <v>16.885034000000001</v>
      </c>
      <c r="K787" s="5">
        <v>-95.019825999999995</v>
      </c>
      <c r="L787" s="5" t="str">
        <f>HYPERLINK("https://maps.google.com/?q=16.885034,-95.019825999999995", "🔗 Ver Mapa")</f>
        <v>🔗 Ver Mapa</v>
      </c>
    </row>
    <row r="788" spans="1:12" ht="43.5" x14ac:dyDescent="0.35">
      <c r="A788" s="6" t="s">
        <v>8</v>
      </c>
      <c r="B788" s="6" t="s">
        <v>16</v>
      </c>
      <c r="C788" s="6" t="s">
        <v>188</v>
      </c>
      <c r="D788" s="6" t="s">
        <v>35</v>
      </c>
      <c r="E788" s="6" t="s">
        <v>39</v>
      </c>
      <c r="F788" s="6" t="s">
        <v>162</v>
      </c>
      <c r="G788" s="6" t="s">
        <v>176</v>
      </c>
      <c r="H788" s="6" t="s">
        <v>189</v>
      </c>
      <c r="I788" s="6" t="s">
        <v>63</v>
      </c>
      <c r="J788" s="6">
        <v>16.888462000000001</v>
      </c>
      <c r="K788" s="6">
        <v>-95.040126000000001</v>
      </c>
      <c r="L788" s="6" t="str">
        <f>HYPERLINK("https://maps.google.com/?q=16.888462,-95.040126000000001", "🔗 Ver Mapa")</f>
        <v>🔗 Ver Mapa</v>
      </c>
    </row>
    <row r="789" spans="1:12" ht="43.5" x14ac:dyDescent="0.35">
      <c r="A789" s="5" t="s">
        <v>8</v>
      </c>
      <c r="B789" s="5" t="s">
        <v>16</v>
      </c>
      <c r="C789" s="5" t="s">
        <v>188</v>
      </c>
      <c r="D789" s="5" t="s">
        <v>35</v>
      </c>
      <c r="E789" s="5" t="s">
        <v>39</v>
      </c>
      <c r="F789" s="5" t="s">
        <v>162</v>
      </c>
      <c r="G789" s="5" t="s">
        <v>176</v>
      </c>
      <c r="H789" s="5" t="s">
        <v>189</v>
      </c>
      <c r="I789" s="5" t="s">
        <v>63</v>
      </c>
      <c r="J789" s="5">
        <v>16.889062041363001</v>
      </c>
      <c r="K789" s="5">
        <v>-95.042391688326006</v>
      </c>
      <c r="L789" s="5" t="str">
        <f>HYPERLINK("https://maps.google.com/?q=16.8890620413635,-95.042391688325907", "🔗 Ver Mapa")</f>
        <v>🔗 Ver Mapa</v>
      </c>
    </row>
    <row r="790" spans="1:12" ht="43.5" x14ac:dyDescent="0.35">
      <c r="A790" s="6" t="s">
        <v>8</v>
      </c>
      <c r="B790" s="6" t="s">
        <v>16</v>
      </c>
      <c r="C790" s="6" t="s">
        <v>188</v>
      </c>
      <c r="D790" s="6" t="s">
        <v>35</v>
      </c>
      <c r="E790" s="6" t="s">
        <v>39</v>
      </c>
      <c r="F790" s="6" t="s">
        <v>162</v>
      </c>
      <c r="G790" s="6" t="s">
        <v>176</v>
      </c>
      <c r="H790" s="6" t="s">
        <v>189</v>
      </c>
      <c r="I790" s="6" t="s">
        <v>63</v>
      </c>
      <c r="J790" s="6">
        <v>16.890018135708001</v>
      </c>
      <c r="K790" s="6">
        <v>-95.038473999999994</v>
      </c>
      <c r="L790" s="6" t="str">
        <f>HYPERLINK("https://maps.google.com/?q=16.8900181357084,-95.038473999999894", "🔗 Ver Mapa")</f>
        <v>🔗 Ver Mapa</v>
      </c>
    </row>
    <row r="791" spans="1:12" ht="43.5" x14ac:dyDescent="0.35">
      <c r="A791" s="5" t="s">
        <v>8</v>
      </c>
      <c r="B791" s="5" t="s">
        <v>16</v>
      </c>
      <c r="C791" s="5" t="s">
        <v>188</v>
      </c>
      <c r="D791" s="5" t="s">
        <v>35</v>
      </c>
      <c r="E791" s="5" t="s">
        <v>39</v>
      </c>
      <c r="F791" s="5" t="s">
        <v>162</v>
      </c>
      <c r="G791" s="5" t="s">
        <v>176</v>
      </c>
      <c r="H791" s="5" t="s">
        <v>189</v>
      </c>
      <c r="I791" s="5" t="s">
        <v>63</v>
      </c>
      <c r="J791" s="5">
        <v>16.890381135698998</v>
      </c>
      <c r="K791" s="5">
        <v>-95.039567387732006</v>
      </c>
      <c r="L791" s="5" t="str">
        <f>HYPERLINK("https://maps.google.com/?q=16.8903811356987,-95.039567387731594", "🔗 Ver Mapa")</f>
        <v>🔗 Ver Mapa</v>
      </c>
    </row>
    <row r="792" spans="1:12" ht="43.5" x14ac:dyDescent="0.35">
      <c r="A792" s="6" t="s">
        <v>8</v>
      </c>
      <c r="B792" s="6" t="s">
        <v>16</v>
      </c>
      <c r="C792" s="6" t="s">
        <v>188</v>
      </c>
      <c r="D792" s="6" t="s">
        <v>35</v>
      </c>
      <c r="E792" s="6" t="s">
        <v>39</v>
      </c>
      <c r="F792" s="6" t="s">
        <v>162</v>
      </c>
      <c r="G792" s="6" t="s">
        <v>176</v>
      </c>
      <c r="H792" s="6" t="s">
        <v>189</v>
      </c>
      <c r="I792" s="6" t="s">
        <v>63</v>
      </c>
      <c r="J792" s="6">
        <v>16.890524835204001</v>
      </c>
      <c r="K792" s="6">
        <v>-95.041163317791003</v>
      </c>
      <c r="L792" s="6" t="str">
        <f>HYPERLINK("https://maps.google.com/?q=16.8905248352039,-95.041163317791103", "🔗 Ver Mapa")</f>
        <v>🔗 Ver Mapa</v>
      </c>
    </row>
    <row r="793" spans="1:12" ht="43.5" x14ac:dyDescent="0.35">
      <c r="A793" s="5" t="s">
        <v>8</v>
      </c>
      <c r="B793" s="5" t="s">
        <v>16</v>
      </c>
      <c r="C793" s="5" t="s">
        <v>188</v>
      </c>
      <c r="D793" s="5" t="s">
        <v>35</v>
      </c>
      <c r="E793" s="5" t="s">
        <v>39</v>
      </c>
      <c r="F793" s="5" t="s">
        <v>162</v>
      </c>
      <c r="G793" s="5" t="s">
        <v>176</v>
      </c>
      <c r="H793" s="5" t="s">
        <v>189</v>
      </c>
      <c r="I793" s="5" t="s">
        <v>63</v>
      </c>
      <c r="J793" s="5">
        <v>16.890579569191001</v>
      </c>
      <c r="K793" s="5">
        <v>-95.041548682208997</v>
      </c>
      <c r="L793" s="5" t="str">
        <f>HYPERLINK("https://maps.google.com/?q=16.8905795691911,-95.041548682209097", "🔗 Ver Mapa")</f>
        <v>🔗 Ver Mapa</v>
      </c>
    </row>
    <row r="794" spans="1:12" ht="43.5" x14ac:dyDescent="0.35">
      <c r="A794" s="6" t="s">
        <v>8</v>
      </c>
      <c r="B794" s="6" t="s">
        <v>16</v>
      </c>
      <c r="C794" s="6" t="s">
        <v>188</v>
      </c>
      <c r="D794" s="6" t="s">
        <v>35</v>
      </c>
      <c r="E794" s="6" t="s">
        <v>39</v>
      </c>
      <c r="F794" s="6" t="s">
        <v>162</v>
      </c>
      <c r="G794" s="6" t="s">
        <v>176</v>
      </c>
      <c r="H794" s="6" t="s">
        <v>189</v>
      </c>
      <c r="I794" s="6" t="s">
        <v>63</v>
      </c>
      <c r="J794" s="6">
        <v>16.892534135639998</v>
      </c>
      <c r="K794" s="6">
        <v>-95.037166364417999</v>
      </c>
      <c r="L794" s="6" t="str">
        <f>HYPERLINK("https://maps.google.com/?q=16.8925341356405,-95.037166364417999", "🔗 Ver Mapa")</f>
        <v>🔗 Ver Mapa</v>
      </c>
    </row>
    <row r="795" spans="1:12" ht="43.5" x14ac:dyDescent="0.35">
      <c r="A795" s="5" t="s">
        <v>8</v>
      </c>
      <c r="B795" s="5" t="s">
        <v>16</v>
      </c>
      <c r="C795" s="5" t="s">
        <v>188</v>
      </c>
      <c r="D795" s="5" t="s">
        <v>35</v>
      </c>
      <c r="E795" s="5" t="s">
        <v>39</v>
      </c>
      <c r="F795" s="5" t="s">
        <v>162</v>
      </c>
      <c r="G795" s="5" t="s">
        <v>176</v>
      </c>
      <c r="H795" s="5" t="s">
        <v>189</v>
      </c>
      <c r="I795" s="5" t="s">
        <v>63</v>
      </c>
      <c r="J795" s="5">
        <v>16.892775002689</v>
      </c>
      <c r="K795" s="5">
        <v>-95.040540953372997</v>
      </c>
      <c r="L795" s="5" t="str">
        <f>HYPERLINK("https://maps.google.com/?q=16.8927750026893,-95.040540953372997", "🔗 Ver Mapa")</f>
        <v>🔗 Ver Mapa</v>
      </c>
    </row>
    <row r="796" spans="1:12" ht="43.5" x14ac:dyDescent="0.35">
      <c r="A796" s="6" t="s">
        <v>8</v>
      </c>
      <c r="B796" s="6" t="s">
        <v>16</v>
      </c>
      <c r="C796" s="6" t="s">
        <v>188</v>
      </c>
      <c r="D796" s="6" t="s">
        <v>35</v>
      </c>
      <c r="E796" s="6" t="s">
        <v>39</v>
      </c>
      <c r="F796" s="6" t="s">
        <v>162</v>
      </c>
      <c r="G796" s="6" t="s">
        <v>176</v>
      </c>
      <c r="H796" s="6" t="s">
        <v>189</v>
      </c>
      <c r="I796" s="6" t="s">
        <v>63</v>
      </c>
      <c r="J796" s="6">
        <v>16.892783436217002</v>
      </c>
      <c r="K796" s="6">
        <v>-95.036833387732003</v>
      </c>
      <c r="L796" s="6" t="str">
        <f>HYPERLINK("https://maps.google.com/?q=16.892783436217,-95.036833387731605", "🔗 Ver Mapa")</f>
        <v>🔗 Ver Mapa</v>
      </c>
    </row>
    <row r="797" spans="1:12" ht="43.5" x14ac:dyDescent="0.35">
      <c r="A797" s="5" t="s">
        <v>8</v>
      </c>
      <c r="B797" s="5" t="s">
        <v>16</v>
      </c>
      <c r="C797" s="5" t="s">
        <v>188</v>
      </c>
      <c r="D797" s="5" t="s">
        <v>35</v>
      </c>
      <c r="E797" s="5" t="s">
        <v>39</v>
      </c>
      <c r="F797" s="5" t="s">
        <v>162</v>
      </c>
      <c r="G797" s="5" t="s">
        <v>176</v>
      </c>
      <c r="H797" s="5" t="s">
        <v>189</v>
      </c>
      <c r="I797" s="5" t="s">
        <v>63</v>
      </c>
      <c r="J797" s="5">
        <v>16.893404569152999</v>
      </c>
      <c r="K797" s="5">
        <v>-95.036192728835999</v>
      </c>
      <c r="L797" s="5" t="str">
        <f>HYPERLINK("https://maps.google.com/?q=16.8934045691531,-95.036192728836198", "🔗 Ver Mapa")</f>
        <v>🔗 Ver Mapa</v>
      </c>
    </row>
    <row r="798" spans="1:12" ht="43.5" x14ac:dyDescent="0.35">
      <c r="A798" s="6" t="s">
        <v>8</v>
      </c>
      <c r="B798" s="6" t="s">
        <v>16</v>
      </c>
      <c r="C798" s="6" t="s">
        <v>188</v>
      </c>
      <c r="D798" s="6" t="s">
        <v>35</v>
      </c>
      <c r="E798" s="6" t="s">
        <v>39</v>
      </c>
      <c r="F798" s="6" t="s">
        <v>162</v>
      </c>
      <c r="G798" s="6" t="s">
        <v>176</v>
      </c>
      <c r="H798" s="6" t="s">
        <v>189</v>
      </c>
      <c r="I798" s="6" t="s">
        <v>63</v>
      </c>
      <c r="J798" s="6">
        <v>16.89368153437</v>
      </c>
      <c r="K798" s="6">
        <v>-95.036263550925995</v>
      </c>
      <c r="L798" s="6" t="str">
        <f>HYPERLINK("https://maps.google.com/?q=16.8936815343704,-95.036263550926094", "🔗 Ver Mapa")</f>
        <v>🔗 Ver Mapa</v>
      </c>
    </row>
    <row r="799" spans="1:12" ht="43.5" x14ac:dyDescent="0.35">
      <c r="A799" s="5" t="s">
        <v>8</v>
      </c>
      <c r="B799" s="5" t="s">
        <v>16</v>
      </c>
      <c r="C799" s="5" t="s">
        <v>188</v>
      </c>
      <c r="D799" s="5" t="s">
        <v>35</v>
      </c>
      <c r="E799" s="5" t="s">
        <v>39</v>
      </c>
      <c r="F799" s="5" t="s">
        <v>162</v>
      </c>
      <c r="G799" s="5" t="s">
        <v>176</v>
      </c>
      <c r="H799" s="5" t="s">
        <v>189</v>
      </c>
      <c r="I799" s="5" t="s">
        <v>63</v>
      </c>
      <c r="J799" s="5">
        <v>16.893697569149001</v>
      </c>
      <c r="K799" s="5">
        <v>-95.036869752149997</v>
      </c>
      <c r="L799" s="5" t="str">
        <f>HYPERLINK("https://maps.google.com/?q=16.8936975691491,-95.036869752149698", "🔗 Ver Mapa")</f>
        <v>🔗 Ver Mapa</v>
      </c>
    </row>
    <row r="800" spans="1:12" ht="43.5" x14ac:dyDescent="0.35">
      <c r="A800" s="6" t="s">
        <v>8</v>
      </c>
      <c r="B800" s="6" t="s">
        <v>16</v>
      </c>
      <c r="C800" s="6" t="s">
        <v>188</v>
      </c>
      <c r="D800" s="6" t="s">
        <v>35</v>
      </c>
      <c r="E800" s="6" t="s">
        <v>39</v>
      </c>
      <c r="F800" s="6" t="s">
        <v>162</v>
      </c>
      <c r="G800" s="6" t="s">
        <v>176</v>
      </c>
      <c r="H800" s="6" t="s">
        <v>189</v>
      </c>
      <c r="I800" s="6" t="s">
        <v>63</v>
      </c>
      <c r="J800" s="6">
        <v>16.893738622766001</v>
      </c>
      <c r="K800" s="6">
        <v>-95.040068463788998</v>
      </c>
      <c r="L800" s="6" t="str">
        <f>HYPERLINK("https://maps.google.com/?q=16.8937386227658,-95.040068463788899", "🔗 Ver Mapa")</f>
        <v>🔗 Ver Mapa</v>
      </c>
    </row>
    <row r="801" spans="1:12" ht="43.5" x14ac:dyDescent="0.35">
      <c r="A801" s="5" t="s">
        <v>8</v>
      </c>
      <c r="B801" s="5" t="s">
        <v>16</v>
      </c>
      <c r="C801" s="5" t="s">
        <v>188</v>
      </c>
      <c r="D801" s="5" t="s">
        <v>35</v>
      </c>
      <c r="E801" s="5" t="s">
        <v>39</v>
      </c>
      <c r="F801" s="5" t="s">
        <v>162</v>
      </c>
      <c r="G801" s="5" t="s">
        <v>176</v>
      </c>
      <c r="H801" s="5" t="s">
        <v>189</v>
      </c>
      <c r="I801" s="5" t="s">
        <v>63</v>
      </c>
      <c r="J801" s="5">
        <v>16.894795418802001</v>
      </c>
      <c r="K801" s="5">
        <v>-95.037284565641997</v>
      </c>
      <c r="L801" s="5" t="str">
        <f>HYPERLINK("https://maps.google.com/?q=16.8947954188018,-95.037284565641599", "🔗 Ver Mapa")</f>
        <v>🔗 Ver Mapa</v>
      </c>
    </row>
    <row r="802" spans="1:12" ht="43.5" x14ac:dyDescent="0.35">
      <c r="A802" s="6" t="s">
        <v>8</v>
      </c>
      <c r="B802" s="6" t="s">
        <v>16</v>
      </c>
      <c r="C802" s="6" t="s">
        <v>188</v>
      </c>
      <c r="D802" s="6" t="s">
        <v>35</v>
      </c>
      <c r="E802" s="6" t="s">
        <v>39</v>
      </c>
      <c r="F802" s="6" t="s">
        <v>162</v>
      </c>
      <c r="G802" s="6" t="s">
        <v>176</v>
      </c>
      <c r="H802" s="6" t="s">
        <v>189</v>
      </c>
      <c r="I802" s="6" t="s">
        <v>63</v>
      </c>
      <c r="J802" s="6">
        <v>16.895668632054999</v>
      </c>
      <c r="K802" s="6">
        <v>-95.039360023314003</v>
      </c>
      <c r="L802" s="6" t="str">
        <f>HYPERLINK("https://maps.google.com/?q=16.895668632055,-95.039360023313506", "🔗 Ver Mapa")</f>
        <v>🔗 Ver Mapa</v>
      </c>
    </row>
    <row r="803" spans="1:12" ht="43.5" x14ac:dyDescent="0.35">
      <c r="A803" s="5" t="s">
        <v>8</v>
      </c>
      <c r="B803" s="5" t="s">
        <v>16</v>
      </c>
      <c r="C803" s="5" t="s">
        <v>188</v>
      </c>
      <c r="D803" s="5" t="s">
        <v>35</v>
      </c>
      <c r="E803" s="5" t="s">
        <v>39</v>
      </c>
      <c r="F803" s="5" t="s">
        <v>162</v>
      </c>
      <c r="G803" s="5" t="s">
        <v>176</v>
      </c>
      <c r="H803" s="5" t="s">
        <v>189</v>
      </c>
      <c r="I803" s="5" t="s">
        <v>63</v>
      </c>
      <c r="J803" s="5">
        <v>16.896512950117</v>
      </c>
      <c r="K803" s="5">
        <v>-95.039451845404002</v>
      </c>
      <c r="L803" s="5" t="str">
        <f>HYPERLINK("https://maps.google.com/?q=16.8965129501173,-95.039451845403704", "🔗 Ver Mapa")</f>
        <v>🔗 Ver Mapa</v>
      </c>
    </row>
    <row r="804" spans="1:12" ht="43.5" x14ac:dyDescent="0.35">
      <c r="A804" s="6" t="s">
        <v>8</v>
      </c>
      <c r="B804" s="6" t="s">
        <v>16</v>
      </c>
      <c r="C804" s="6" t="s">
        <v>188</v>
      </c>
      <c r="D804" s="6" t="s">
        <v>35</v>
      </c>
      <c r="E804" s="6" t="s">
        <v>39</v>
      </c>
      <c r="F804" s="6" t="s">
        <v>162</v>
      </c>
      <c r="G804" s="6" t="s">
        <v>176</v>
      </c>
      <c r="H804" s="6" t="s">
        <v>189</v>
      </c>
      <c r="I804" s="6" t="s">
        <v>63</v>
      </c>
      <c r="J804" s="6">
        <v>16.897144488944001</v>
      </c>
      <c r="K804" s="6">
        <v>-95.037507504299001</v>
      </c>
      <c r="L804" s="6" t="str">
        <f>HYPERLINK("https://maps.google.com/?q=16.8971444889444,-95.037507504299199", "🔗 Ver Mapa")</f>
        <v>🔗 Ver Mapa</v>
      </c>
    </row>
    <row r="805" spans="1:12" ht="43.5" x14ac:dyDescent="0.35">
      <c r="A805" s="5" t="s">
        <v>8</v>
      </c>
      <c r="B805" s="5" t="s">
        <v>16</v>
      </c>
      <c r="C805" s="5" t="s">
        <v>188</v>
      </c>
      <c r="D805" s="5" t="s">
        <v>35</v>
      </c>
      <c r="E805" s="5" t="s">
        <v>39</v>
      </c>
      <c r="F805" s="5" t="s">
        <v>162</v>
      </c>
      <c r="G805" s="5" t="s">
        <v>176</v>
      </c>
      <c r="H805" s="5" t="s">
        <v>189</v>
      </c>
      <c r="I805" s="5" t="s">
        <v>63</v>
      </c>
      <c r="J805" s="5">
        <v>16.897479669098001</v>
      </c>
      <c r="K805" s="5">
        <v>-95.037443917790995</v>
      </c>
      <c r="L805" s="5" t="str">
        <f>HYPERLINK("https://maps.google.com/?q=16.8974796690983,-95.037443917790995", "🔗 Ver Mapa")</f>
        <v>🔗 Ver Mapa</v>
      </c>
    </row>
    <row r="806" spans="1:12" ht="43.5" x14ac:dyDescent="0.35">
      <c r="A806" s="6" t="s">
        <v>8</v>
      </c>
      <c r="B806" s="6" t="s">
        <v>16</v>
      </c>
      <c r="C806" s="6" t="s">
        <v>188</v>
      </c>
      <c r="D806" s="6" t="s">
        <v>35</v>
      </c>
      <c r="E806" s="6" t="s">
        <v>39</v>
      </c>
      <c r="F806" s="6" t="s">
        <v>162</v>
      </c>
      <c r="G806" s="6" t="s">
        <v>176</v>
      </c>
      <c r="H806" s="6" t="s">
        <v>189</v>
      </c>
      <c r="I806" s="6" t="s">
        <v>63</v>
      </c>
      <c r="J806" s="6">
        <v>16.897547135505</v>
      </c>
      <c r="K806" s="6">
        <v>-95.042595046627</v>
      </c>
      <c r="L806" s="6" t="str">
        <f>HYPERLINK("https://maps.google.com/?q=16.8975471355049,-95.042595046627", "🔗 Ver Mapa")</f>
        <v>🔗 Ver Mapa</v>
      </c>
    </row>
    <row r="807" spans="1:12" ht="43.5" x14ac:dyDescent="0.35">
      <c r="A807" s="5" t="s">
        <v>8</v>
      </c>
      <c r="B807" s="5" t="s">
        <v>16</v>
      </c>
      <c r="C807" s="5" t="s">
        <v>188</v>
      </c>
      <c r="D807" s="5" t="s">
        <v>35</v>
      </c>
      <c r="E807" s="5" t="s">
        <v>39</v>
      </c>
      <c r="F807" s="5" t="s">
        <v>162</v>
      </c>
      <c r="G807" s="5" t="s">
        <v>176</v>
      </c>
      <c r="H807" s="5" t="s">
        <v>189</v>
      </c>
      <c r="I807" s="5" t="s">
        <v>63</v>
      </c>
      <c r="J807" s="5">
        <v>16.898123869890998</v>
      </c>
      <c r="K807" s="5">
        <v>-95.038116046626996</v>
      </c>
      <c r="L807" s="5" t="str">
        <f>HYPERLINK("https://maps.google.com/?q=16.8981238698911,-95.038116046626897", "🔗 Ver Mapa")</f>
        <v>🔗 Ver Mapa</v>
      </c>
    </row>
    <row r="808" spans="1:12" ht="43.5" x14ac:dyDescent="0.35">
      <c r="A808" s="6" t="s">
        <v>8</v>
      </c>
      <c r="B808" s="6" t="s">
        <v>16</v>
      </c>
      <c r="C808" s="6" t="s">
        <v>188</v>
      </c>
      <c r="D808" s="6" t="s">
        <v>35</v>
      </c>
      <c r="E808" s="6" t="s">
        <v>39</v>
      </c>
      <c r="F808" s="6" t="s">
        <v>162</v>
      </c>
      <c r="G808" s="6" t="s">
        <v>176</v>
      </c>
      <c r="H808" s="6" t="s">
        <v>189</v>
      </c>
      <c r="I808" s="6" t="s">
        <v>63</v>
      </c>
      <c r="J808" s="6">
        <v>16.898349918680999</v>
      </c>
      <c r="K808" s="6">
        <v>-95.034554382208995</v>
      </c>
      <c r="L808" s="6" t="str">
        <f>HYPERLINK("https://maps.google.com/?q=16.8983499186814,-95.034554382208995", "🔗 Ver Mapa")</f>
        <v>🔗 Ver Mapa</v>
      </c>
    </row>
    <row r="809" spans="1:12" ht="43.5" x14ac:dyDescent="0.35">
      <c r="A809" s="5" t="s">
        <v>8</v>
      </c>
      <c r="B809" s="5" t="s">
        <v>16</v>
      </c>
      <c r="C809" s="5" t="s">
        <v>188</v>
      </c>
      <c r="D809" s="5" t="s">
        <v>35</v>
      </c>
      <c r="E809" s="5" t="s">
        <v>39</v>
      </c>
      <c r="F809" s="5" t="s">
        <v>162</v>
      </c>
      <c r="G809" s="5" t="s">
        <v>176</v>
      </c>
      <c r="H809" s="5" t="s">
        <v>189</v>
      </c>
      <c r="I809" s="5" t="s">
        <v>63</v>
      </c>
      <c r="J809" s="5">
        <v>16.898407887514001</v>
      </c>
      <c r="K809" s="5">
        <v>-95.034682387732005</v>
      </c>
      <c r="L809" s="5" t="str">
        <f>HYPERLINK("https://maps.google.com/?q=16.8984078875144,-95.034682387731607", "🔗 Ver Mapa")</f>
        <v>🔗 Ver Mapa</v>
      </c>
    </row>
    <row r="810" spans="1:12" ht="43.5" x14ac:dyDescent="0.35">
      <c r="A810" s="6" t="s">
        <v>8</v>
      </c>
      <c r="B810" s="6" t="s">
        <v>16</v>
      </c>
      <c r="C810" s="6" t="s">
        <v>188</v>
      </c>
      <c r="D810" s="6" t="s">
        <v>35</v>
      </c>
      <c r="E810" s="6" t="s">
        <v>39</v>
      </c>
      <c r="F810" s="6" t="s">
        <v>162</v>
      </c>
      <c r="G810" s="6" t="s">
        <v>176</v>
      </c>
      <c r="H810" s="6" t="s">
        <v>189</v>
      </c>
      <c r="I810" s="6" t="s">
        <v>63</v>
      </c>
      <c r="J810" s="6">
        <v>16.900063117742999</v>
      </c>
      <c r="K810" s="6">
        <v>-95.034961728835995</v>
      </c>
      <c r="L810" s="6" t="str">
        <f>HYPERLINK("https://maps.google.com/?q=16.9000631177433,-95.034961728836095", "🔗 Ver Mapa")</f>
        <v>🔗 Ver Mapa</v>
      </c>
    </row>
    <row r="811" spans="1:12" ht="43.5" x14ac:dyDescent="0.35">
      <c r="A811" s="5" t="s">
        <v>8</v>
      </c>
      <c r="B811" s="5" t="s">
        <v>16</v>
      </c>
      <c r="C811" s="5" t="s">
        <v>190</v>
      </c>
      <c r="D811" s="5" t="s">
        <v>35</v>
      </c>
      <c r="E811" s="5" t="s">
        <v>39</v>
      </c>
      <c r="F811" s="5" t="s">
        <v>162</v>
      </c>
      <c r="G811" s="5" t="s">
        <v>176</v>
      </c>
      <c r="H811" s="5" t="s">
        <v>191</v>
      </c>
      <c r="I811" s="5" t="s">
        <v>63</v>
      </c>
      <c r="J811" s="5">
        <v>16.879204286015</v>
      </c>
      <c r="K811" s="5">
        <v>-95.051250163193998</v>
      </c>
      <c r="L811" s="5" t="str">
        <f>HYPERLINK("https://maps.google.com/?q=16.8792042860154,-95.051250163194496", "🔗 Ver Mapa")</f>
        <v>🔗 Ver Mapa</v>
      </c>
    </row>
    <row r="812" spans="1:12" ht="43.5" x14ac:dyDescent="0.35">
      <c r="A812" s="6" t="s">
        <v>8</v>
      </c>
      <c r="B812" s="6" t="s">
        <v>16</v>
      </c>
      <c r="C812" s="6" t="s">
        <v>190</v>
      </c>
      <c r="D812" s="6" t="s">
        <v>35</v>
      </c>
      <c r="E812" s="6" t="s">
        <v>39</v>
      </c>
      <c r="F812" s="6" t="s">
        <v>162</v>
      </c>
      <c r="G812" s="6" t="s">
        <v>176</v>
      </c>
      <c r="H812" s="6" t="s">
        <v>191</v>
      </c>
      <c r="I812" s="6" t="s">
        <v>63</v>
      </c>
      <c r="J812" s="6">
        <v>16.879492569340002</v>
      </c>
      <c r="K812" s="6">
        <v>-95.052309116567002</v>
      </c>
      <c r="L812" s="6" t="str">
        <f>HYPERLINK("https://maps.google.com/?q=16.87949256934,-95.0523091165675", "🔗 Ver Mapa")</f>
        <v>🔗 Ver Mapa</v>
      </c>
    </row>
    <row r="813" spans="1:12" ht="43.5" x14ac:dyDescent="0.35">
      <c r="A813" s="5" t="s">
        <v>8</v>
      </c>
      <c r="B813" s="5" t="s">
        <v>16</v>
      </c>
      <c r="C813" s="5" t="s">
        <v>190</v>
      </c>
      <c r="D813" s="5" t="s">
        <v>35</v>
      </c>
      <c r="E813" s="5" t="s">
        <v>39</v>
      </c>
      <c r="F813" s="5" t="s">
        <v>162</v>
      </c>
      <c r="G813" s="5" t="s">
        <v>176</v>
      </c>
      <c r="H813" s="5" t="s">
        <v>191</v>
      </c>
      <c r="I813" s="5" t="s">
        <v>63</v>
      </c>
      <c r="J813" s="5">
        <v>16.879993286009999</v>
      </c>
      <c r="K813" s="5">
        <v>-95.051213023312997</v>
      </c>
      <c r="L813" s="5" t="str">
        <f>HYPERLINK("https://maps.google.com/?q=16.8799932860102,-95.051213023313395", "🔗 Ver Mapa")</f>
        <v>🔗 Ver Mapa</v>
      </c>
    </row>
    <row r="814" spans="1:12" ht="43.5" x14ac:dyDescent="0.35">
      <c r="A814" s="6" t="s">
        <v>8</v>
      </c>
      <c r="B814" s="6" t="s">
        <v>16</v>
      </c>
      <c r="C814" s="6" t="s">
        <v>190</v>
      </c>
      <c r="D814" s="6" t="s">
        <v>35</v>
      </c>
      <c r="E814" s="6" t="s">
        <v>39</v>
      </c>
      <c r="F814" s="6" t="s">
        <v>162</v>
      </c>
      <c r="G814" s="6" t="s">
        <v>176</v>
      </c>
      <c r="H814" s="6" t="s">
        <v>191</v>
      </c>
      <c r="I814" s="6" t="s">
        <v>63</v>
      </c>
      <c r="J814" s="6">
        <v>16.880198106321998</v>
      </c>
      <c r="K814" s="6">
        <v>-95.050297398810997</v>
      </c>
      <c r="L814" s="6" t="str">
        <f>HYPERLINK("https://maps.google.com/?q=16.8801981063223,-95.050297398811395", "🔗 Ver Mapa")</f>
        <v>🔗 Ver Mapa</v>
      </c>
    </row>
    <row r="815" spans="1:12" ht="43.5" x14ac:dyDescent="0.35">
      <c r="A815" s="5" t="s">
        <v>8</v>
      </c>
      <c r="B815" s="5" t="s">
        <v>16</v>
      </c>
      <c r="C815" s="5" t="s">
        <v>190</v>
      </c>
      <c r="D815" s="5" t="s">
        <v>35</v>
      </c>
      <c r="E815" s="5" t="s">
        <v>39</v>
      </c>
      <c r="F815" s="5" t="s">
        <v>162</v>
      </c>
      <c r="G815" s="5" t="s">
        <v>176</v>
      </c>
      <c r="H815" s="5" t="s">
        <v>191</v>
      </c>
      <c r="I815" s="5" t="s">
        <v>63</v>
      </c>
      <c r="J815" s="5">
        <v>16.883141719386</v>
      </c>
      <c r="K815" s="5">
        <v>-95.051034000000001</v>
      </c>
      <c r="L815" s="5" t="str">
        <f>HYPERLINK("https://maps.google.com/?q=16.8831417193859,-95.051033999999902", "🔗 Ver Mapa")</f>
        <v>🔗 Ver Mapa</v>
      </c>
    </row>
    <row r="816" spans="1:12" ht="43.5" x14ac:dyDescent="0.35">
      <c r="A816" s="6" t="s">
        <v>8</v>
      </c>
      <c r="B816" s="6" t="s">
        <v>16</v>
      </c>
      <c r="C816" s="6" t="s">
        <v>190</v>
      </c>
      <c r="D816" s="6" t="s">
        <v>35</v>
      </c>
      <c r="E816" s="6" t="s">
        <v>39</v>
      </c>
      <c r="F816" s="6" t="s">
        <v>162</v>
      </c>
      <c r="G816" s="6" t="s">
        <v>176</v>
      </c>
      <c r="H816" s="6" t="s">
        <v>191</v>
      </c>
      <c r="I816" s="6" t="s">
        <v>63</v>
      </c>
      <c r="J816" s="6">
        <v>16.883351000000001</v>
      </c>
      <c r="K816" s="6">
        <v>-95.051517000000004</v>
      </c>
      <c r="L816" s="6" t="str">
        <f>HYPERLINK("https://maps.google.com/?q=16.883351,-95.051517000000004", "🔗 Ver Mapa")</f>
        <v>🔗 Ver Mapa</v>
      </c>
    </row>
    <row r="817" spans="1:12" ht="43.5" x14ac:dyDescent="0.35">
      <c r="A817" s="5" t="s">
        <v>8</v>
      </c>
      <c r="B817" s="5" t="s">
        <v>16</v>
      </c>
      <c r="C817" s="5" t="s">
        <v>190</v>
      </c>
      <c r="D817" s="5" t="s">
        <v>35</v>
      </c>
      <c r="E817" s="5" t="s">
        <v>39</v>
      </c>
      <c r="F817" s="5" t="s">
        <v>162</v>
      </c>
      <c r="G817" s="5" t="s">
        <v>176</v>
      </c>
      <c r="H817" s="5" t="s">
        <v>191</v>
      </c>
      <c r="I817" s="5" t="s">
        <v>63</v>
      </c>
      <c r="J817" s="5">
        <v>16.884201169705001</v>
      </c>
      <c r="K817" s="5">
        <v>-95.050989379133</v>
      </c>
      <c r="L817" s="5" t="str">
        <f>HYPERLINK("https://maps.google.com/?q=16.8842011697045,-95.050989379133298", "🔗 Ver Mapa")</f>
        <v>🔗 Ver Mapa</v>
      </c>
    </row>
    <row r="818" spans="1:12" ht="43.5" x14ac:dyDescent="0.35">
      <c r="A818" s="6" t="s">
        <v>8</v>
      </c>
      <c r="B818" s="6" t="s">
        <v>16</v>
      </c>
      <c r="C818" s="6" t="s">
        <v>192</v>
      </c>
      <c r="D818" s="6" t="s">
        <v>35</v>
      </c>
      <c r="E818" s="6" t="s">
        <v>39</v>
      </c>
      <c r="F818" s="6" t="s">
        <v>162</v>
      </c>
      <c r="G818" s="6" t="s">
        <v>193</v>
      </c>
      <c r="H818" s="6" t="s">
        <v>194</v>
      </c>
      <c r="I818" s="6" t="s">
        <v>63</v>
      </c>
      <c r="J818" s="6">
        <v>16.710127050000001</v>
      </c>
      <c r="K818" s="6">
        <v>-94.747332700000001</v>
      </c>
      <c r="L818" s="6" t="str">
        <f>HYPERLINK("https://maps.google.com/?q=16.71012705,-94.747332700000001", "🔗 Ver Mapa")</f>
        <v>🔗 Ver Mapa</v>
      </c>
    </row>
    <row r="819" spans="1:12" ht="43.5" x14ac:dyDescent="0.35">
      <c r="A819" s="5" t="s">
        <v>8</v>
      </c>
      <c r="B819" s="5" t="s">
        <v>16</v>
      </c>
      <c r="C819" s="5" t="s">
        <v>192</v>
      </c>
      <c r="D819" s="5" t="s">
        <v>35</v>
      </c>
      <c r="E819" s="5" t="s">
        <v>39</v>
      </c>
      <c r="F819" s="5" t="s">
        <v>162</v>
      </c>
      <c r="G819" s="5" t="s">
        <v>193</v>
      </c>
      <c r="H819" s="5" t="s">
        <v>194</v>
      </c>
      <c r="I819" s="5" t="s">
        <v>63</v>
      </c>
      <c r="J819" s="5">
        <v>16.711665</v>
      </c>
      <c r="K819" s="5">
        <v>-94.745328999999998</v>
      </c>
      <c r="L819" s="5" t="str">
        <f>HYPERLINK("https://maps.google.com/?q=16.711665,-94.745328999999998", "🔗 Ver Mapa")</f>
        <v>🔗 Ver Mapa</v>
      </c>
    </row>
    <row r="820" spans="1:12" ht="43.5" x14ac:dyDescent="0.35">
      <c r="A820" s="6" t="s">
        <v>8</v>
      </c>
      <c r="B820" s="6" t="s">
        <v>16</v>
      </c>
      <c r="C820" s="6" t="s">
        <v>192</v>
      </c>
      <c r="D820" s="6" t="s">
        <v>35</v>
      </c>
      <c r="E820" s="6" t="s">
        <v>39</v>
      </c>
      <c r="F820" s="6" t="s">
        <v>162</v>
      </c>
      <c r="G820" s="6" t="s">
        <v>193</v>
      </c>
      <c r="H820" s="6" t="s">
        <v>194</v>
      </c>
      <c r="I820" s="6" t="s">
        <v>63</v>
      </c>
      <c r="J820" s="6">
        <v>16.711908999999999</v>
      </c>
      <c r="K820" s="6">
        <v>-94.745638999999997</v>
      </c>
      <c r="L820" s="6" t="str">
        <f>HYPERLINK("https://maps.google.com/?q=16.711909,-94.745638999999997", "🔗 Ver Mapa")</f>
        <v>🔗 Ver Mapa</v>
      </c>
    </row>
    <row r="821" spans="1:12" ht="43.5" x14ac:dyDescent="0.35">
      <c r="A821" s="5" t="s">
        <v>8</v>
      </c>
      <c r="B821" s="5" t="s">
        <v>16</v>
      </c>
      <c r="C821" s="5" t="s">
        <v>192</v>
      </c>
      <c r="D821" s="5" t="s">
        <v>35</v>
      </c>
      <c r="E821" s="5" t="s">
        <v>39</v>
      </c>
      <c r="F821" s="5" t="s">
        <v>162</v>
      </c>
      <c r="G821" s="5" t="s">
        <v>193</v>
      </c>
      <c r="H821" s="5" t="s">
        <v>194</v>
      </c>
      <c r="I821" s="5" t="s">
        <v>63</v>
      </c>
      <c r="J821" s="5">
        <v>16.712033999999999</v>
      </c>
      <c r="K821" s="5">
        <v>-94.745710000000003</v>
      </c>
      <c r="L821" s="5" t="str">
        <f>HYPERLINK("https://maps.google.com/?q=16.712034,-94.745710000000003", "🔗 Ver Mapa")</f>
        <v>🔗 Ver Mapa</v>
      </c>
    </row>
    <row r="822" spans="1:12" ht="43.5" x14ac:dyDescent="0.35">
      <c r="A822" s="6" t="s">
        <v>8</v>
      </c>
      <c r="B822" s="6" t="s">
        <v>16</v>
      </c>
      <c r="C822" s="6" t="s">
        <v>192</v>
      </c>
      <c r="D822" s="6" t="s">
        <v>35</v>
      </c>
      <c r="E822" s="6" t="s">
        <v>39</v>
      </c>
      <c r="F822" s="6" t="s">
        <v>162</v>
      </c>
      <c r="G822" s="6" t="s">
        <v>193</v>
      </c>
      <c r="H822" s="6" t="s">
        <v>194</v>
      </c>
      <c r="I822" s="6" t="s">
        <v>63</v>
      </c>
      <c r="J822" s="6">
        <v>16.7120392</v>
      </c>
      <c r="K822" s="6">
        <v>-94.745220399999994</v>
      </c>
      <c r="L822" s="6" t="str">
        <f>HYPERLINK("https://maps.google.com/?q=16.7120392,-94.745220399999994", "🔗 Ver Mapa")</f>
        <v>🔗 Ver Mapa</v>
      </c>
    </row>
    <row r="823" spans="1:12" ht="43.5" x14ac:dyDescent="0.35">
      <c r="A823" s="5" t="s">
        <v>8</v>
      </c>
      <c r="B823" s="5" t="s">
        <v>16</v>
      </c>
      <c r="C823" s="5" t="s">
        <v>192</v>
      </c>
      <c r="D823" s="5" t="s">
        <v>35</v>
      </c>
      <c r="E823" s="5" t="s">
        <v>39</v>
      </c>
      <c r="F823" s="5" t="s">
        <v>162</v>
      </c>
      <c r="G823" s="5" t="s">
        <v>193</v>
      </c>
      <c r="H823" s="5" t="s">
        <v>194</v>
      </c>
      <c r="I823" s="5" t="s">
        <v>63</v>
      </c>
      <c r="J823" s="5">
        <v>16.712123798878999</v>
      </c>
      <c r="K823" s="5">
        <v>-94.745288909147007</v>
      </c>
      <c r="L823" s="5" t="str">
        <f>HYPERLINK("https://maps.google.com/?q=16.7121237988792,-94.745288909147", "🔗 Ver Mapa")</f>
        <v>🔗 Ver Mapa</v>
      </c>
    </row>
    <row r="824" spans="1:12" ht="43.5" x14ac:dyDescent="0.35">
      <c r="A824" s="6" t="s">
        <v>8</v>
      </c>
      <c r="B824" s="6" t="s">
        <v>16</v>
      </c>
      <c r="C824" s="6" t="s">
        <v>192</v>
      </c>
      <c r="D824" s="6" t="s">
        <v>35</v>
      </c>
      <c r="E824" s="6" t="s">
        <v>39</v>
      </c>
      <c r="F824" s="6" t="s">
        <v>162</v>
      </c>
      <c r="G824" s="6" t="s">
        <v>193</v>
      </c>
      <c r="H824" s="6" t="s">
        <v>194</v>
      </c>
      <c r="I824" s="6" t="s">
        <v>63</v>
      </c>
      <c r="J824" s="6">
        <v>16.7121873</v>
      </c>
      <c r="K824" s="6">
        <v>-94.745353199999997</v>
      </c>
      <c r="L824" s="6" t="str">
        <f>HYPERLINK("https://maps.google.com/?q=16.7121873,-94.745353199999997", "🔗 Ver Mapa")</f>
        <v>🔗 Ver Mapa</v>
      </c>
    </row>
    <row r="825" spans="1:12" ht="43.5" x14ac:dyDescent="0.35">
      <c r="A825" s="5" t="s">
        <v>8</v>
      </c>
      <c r="B825" s="5" t="s">
        <v>16</v>
      </c>
      <c r="C825" s="5" t="s">
        <v>192</v>
      </c>
      <c r="D825" s="5" t="s">
        <v>35</v>
      </c>
      <c r="E825" s="5" t="s">
        <v>39</v>
      </c>
      <c r="F825" s="5" t="s">
        <v>162</v>
      </c>
      <c r="G825" s="5" t="s">
        <v>193</v>
      </c>
      <c r="H825" s="5" t="s">
        <v>194</v>
      </c>
      <c r="I825" s="5" t="s">
        <v>63</v>
      </c>
      <c r="J825" s="5">
        <v>16.712420999999999</v>
      </c>
      <c r="K825" s="5">
        <v>-94.749053000000004</v>
      </c>
      <c r="L825" s="5" t="str">
        <f>HYPERLINK("https://maps.google.com/?q=16.712421,-94.749053000000004", "🔗 Ver Mapa")</f>
        <v>🔗 Ver Mapa</v>
      </c>
    </row>
    <row r="826" spans="1:12" ht="43.5" x14ac:dyDescent="0.35">
      <c r="A826" s="6" t="s">
        <v>8</v>
      </c>
      <c r="B826" s="6" t="s">
        <v>16</v>
      </c>
      <c r="C826" s="6" t="s">
        <v>192</v>
      </c>
      <c r="D826" s="6" t="s">
        <v>35</v>
      </c>
      <c r="E826" s="6" t="s">
        <v>39</v>
      </c>
      <c r="F826" s="6" t="s">
        <v>162</v>
      </c>
      <c r="G826" s="6" t="s">
        <v>193</v>
      </c>
      <c r="H826" s="6" t="s">
        <v>194</v>
      </c>
      <c r="I826" s="6" t="s">
        <v>63</v>
      </c>
      <c r="J826" s="6">
        <v>16.712423495366</v>
      </c>
      <c r="K826" s="6">
        <v>-94.749163807374998</v>
      </c>
      <c r="L826" s="6" t="str">
        <f>HYPERLINK("https://maps.google.com/?q=16.7124234953659,-94.749163807374899", "🔗 Ver Mapa")</f>
        <v>🔗 Ver Mapa</v>
      </c>
    </row>
    <row r="827" spans="1:12" ht="43.5" x14ac:dyDescent="0.35">
      <c r="A827" s="5" t="s">
        <v>8</v>
      </c>
      <c r="B827" s="5" t="s">
        <v>16</v>
      </c>
      <c r="C827" s="5" t="s">
        <v>192</v>
      </c>
      <c r="D827" s="5" t="s">
        <v>35</v>
      </c>
      <c r="E827" s="5" t="s">
        <v>39</v>
      </c>
      <c r="F827" s="5" t="s">
        <v>162</v>
      </c>
      <c r="G827" s="5" t="s">
        <v>193</v>
      </c>
      <c r="H827" s="5" t="s">
        <v>194</v>
      </c>
      <c r="I827" s="5" t="s">
        <v>63</v>
      </c>
      <c r="J827" s="5">
        <v>16.712437999999999</v>
      </c>
      <c r="K827" s="5">
        <v>-94.745350000000002</v>
      </c>
      <c r="L827" s="5" t="str">
        <f>HYPERLINK("https://maps.google.com/?q=16.712438,-94.745350000000002", "🔗 Ver Mapa")</f>
        <v>🔗 Ver Mapa</v>
      </c>
    </row>
    <row r="828" spans="1:12" ht="43.5" x14ac:dyDescent="0.35">
      <c r="A828" s="6" t="s">
        <v>8</v>
      </c>
      <c r="B828" s="6" t="s">
        <v>16</v>
      </c>
      <c r="C828" s="6" t="s">
        <v>192</v>
      </c>
      <c r="D828" s="6" t="s">
        <v>35</v>
      </c>
      <c r="E828" s="6" t="s">
        <v>39</v>
      </c>
      <c r="F828" s="6" t="s">
        <v>162</v>
      </c>
      <c r="G828" s="6" t="s">
        <v>193</v>
      </c>
      <c r="H828" s="6" t="s">
        <v>194</v>
      </c>
      <c r="I828" s="6" t="s">
        <v>63</v>
      </c>
      <c r="J828" s="6">
        <v>16.712461999999999</v>
      </c>
      <c r="K828" s="6">
        <v>-94.745521999999994</v>
      </c>
      <c r="L828" s="6" t="str">
        <f>HYPERLINK("https://maps.google.com/?q=16.712462,-94.745521999999994", "🔗 Ver Mapa")</f>
        <v>🔗 Ver Mapa</v>
      </c>
    </row>
    <row r="829" spans="1:12" ht="43.5" x14ac:dyDescent="0.35">
      <c r="A829" s="5" t="s">
        <v>8</v>
      </c>
      <c r="B829" s="5" t="s">
        <v>16</v>
      </c>
      <c r="C829" s="5" t="s">
        <v>192</v>
      </c>
      <c r="D829" s="5" t="s">
        <v>35</v>
      </c>
      <c r="E829" s="5" t="s">
        <v>39</v>
      </c>
      <c r="F829" s="5" t="s">
        <v>162</v>
      </c>
      <c r="G829" s="5" t="s">
        <v>193</v>
      </c>
      <c r="H829" s="5" t="s">
        <v>194</v>
      </c>
      <c r="I829" s="5" t="s">
        <v>63</v>
      </c>
      <c r="J829" s="5">
        <v>16.712623000000001</v>
      </c>
      <c r="K829" s="5">
        <v>-94.745519999999999</v>
      </c>
      <c r="L829" s="5" t="str">
        <f>HYPERLINK("https://maps.google.com/?q=16.712623,-94.745519999999999", "🔗 Ver Mapa")</f>
        <v>🔗 Ver Mapa</v>
      </c>
    </row>
    <row r="830" spans="1:12" ht="43.5" x14ac:dyDescent="0.35">
      <c r="A830" s="6" t="s">
        <v>8</v>
      </c>
      <c r="B830" s="6" t="s">
        <v>16</v>
      </c>
      <c r="C830" s="6" t="s">
        <v>192</v>
      </c>
      <c r="D830" s="6" t="s">
        <v>35</v>
      </c>
      <c r="E830" s="6" t="s">
        <v>39</v>
      </c>
      <c r="F830" s="6" t="s">
        <v>162</v>
      </c>
      <c r="G830" s="6" t="s">
        <v>193</v>
      </c>
      <c r="H830" s="6" t="s">
        <v>194</v>
      </c>
      <c r="I830" s="6" t="s">
        <v>63</v>
      </c>
      <c r="J830" s="6">
        <v>16.712651000000001</v>
      </c>
      <c r="K830" s="6">
        <v>-94.745872000000006</v>
      </c>
      <c r="L830" s="6" t="str">
        <f>HYPERLINK("https://maps.google.com/?q=16.712651,-94.745872000000006", "🔗 Ver Mapa")</f>
        <v>🔗 Ver Mapa</v>
      </c>
    </row>
    <row r="831" spans="1:12" ht="43.5" x14ac:dyDescent="0.35">
      <c r="A831" s="5" t="s">
        <v>8</v>
      </c>
      <c r="B831" s="5" t="s">
        <v>16</v>
      </c>
      <c r="C831" s="5" t="s">
        <v>192</v>
      </c>
      <c r="D831" s="5" t="s">
        <v>35</v>
      </c>
      <c r="E831" s="5" t="s">
        <v>39</v>
      </c>
      <c r="F831" s="5" t="s">
        <v>162</v>
      </c>
      <c r="G831" s="5" t="s">
        <v>193</v>
      </c>
      <c r="H831" s="5" t="s">
        <v>194</v>
      </c>
      <c r="I831" s="5" t="s">
        <v>63</v>
      </c>
      <c r="J831" s="5">
        <v>16.712651999999999</v>
      </c>
      <c r="K831" s="5">
        <v>-94.748125000000002</v>
      </c>
      <c r="L831" s="5" t="str">
        <f>HYPERLINK("https://maps.google.com/?q=16.712652,-94.748125000000002", "🔗 Ver Mapa")</f>
        <v>🔗 Ver Mapa</v>
      </c>
    </row>
    <row r="832" spans="1:12" ht="43.5" x14ac:dyDescent="0.35">
      <c r="A832" s="6" t="s">
        <v>8</v>
      </c>
      <c r="B832" s="6" t="s">
        <v>16</v>
      </c>
      <c r="C832" s="6" t="s">
        <v>192</v>
      </c>
      <c r="D832" s="6" t="s">
        <v>35</v>
      </c>
      <c r="E832" s="6" t="s">
        <v>39</v>
      </c>
      <c r="F832" s="6" t="s">
        <v>162</v>
      </c>
      <c r="G832" s="6" t="s">
        <v>193</v>
      </c>
      <c r="H832" s="6" t="s">
        <v>194</v>
      </c>
      <c r="I832" s="6" t="s">
        <v>63</v>
      </c>
      <c r="J832" s="6">
        <v>16.712672999999999</v>
      </c>
      <c r="K832" s="6">
        <v>-94.745209000000003</v>
      </c>
      <c r="L832" s="6" t="str">
        <f>HYPERLINK("https://maps.google.com/?q=16.712673,-94.745209000000003", "🔗 Ver Mapa")</f>
        <v>🔗 Ver Mapa</v>
      </c>
    </row>
    <row r="833" spans="1:12" ht="43.5" x14ac:dyDescent="0.35">
      <c r="A833" s="5" t="s">
        <v>8</v>
      </c>
      <c r="B833" s="5" t="s">
        <v>16</v>
      </c>
      <c r="C833" s="5" t="s">
        <v>192</v>
      </c>
      <c r="D833" s="5" t="s">
        <v>35</v>
      </c>
      <c r="E833" s="5" t="s">
        <v>39</v>
      </c>
      <c r="F833" s="5" t="s">
        <v>162</v>
      </c>
      <c r="G833" s="5" t="s">
        <v>193</v>
      </c>
      <c r="H833" s="5" t="s">
        <v>194</v>
      </c>
      <c r="I833" s="5" t="s">
        <v>63</v>
      </c>
      <c r="J833" s="5">
        <v>16.712747</v>
      </c>
      <c r="K833" s="5">
        <v>-94.746532999999999</v>
      </c>
      <c r="L833" s="5" t="str">
        <f>HYPERLINK("https://maps.google.com/?q=16.712747,-94.746532999999999", "🔗 Ver Mapa")</f>
        <v>🔗 Ver Mapa</v>
      </c>
    </row>
    <row r="834" spans="1:12" ht="43.5" x14ac:dyDescent="0.35">
      <c r="A834" s="6" t="s">
        <v>8</v>
      </c>
      <c r="B834" s="6" t="s">
        <v>16</v>
      </c>
      <c r="C834" s="6" t="s">
        <v>192</v>
      </c>
      <c r="D834" s="6" t="s">
        <v>35</v>
      </c>
      <c r="E834" s="6" t="s">
        <v>39</v>
      </c>
      <c r="F834" s="6" t="s">
        <v>162</v>
      </c>
      <c r="G834" s="6" t="s">
        <v>193</v>
      </c>
      <c r="H834" s="6" t="s">
        <v>194</v>
      </c>
      <c r="I834" s="6" t="s">
        <v>63</v>
      </c>
      <c r="J834" s="6">
        <v>16.712892</v>
      </c>
      <c r="K834" s="6">
        <v>-94.748023000000003</v>
      </c>
      <c r="L834" s="6" t="str">
        <f>HYPERLINK("https://maps.google.com/?q=16.712892,-94.748023000000003", "🔗 Ver Mapa")</f>
        <v>🔗 Ver Mapa</v>
      </c>
    </row>
    <row r="835" spans="1:12" ht="43.5" x14ac:dyDescent="0.35">
      <c r="A835" s="5" t="s">
        <v>8</v>
      </c>
      <c r="B835" s="5" t="s">
        <v>16</v>
      </c>
      <c r="C835" s="5" t="s">
        <v>192</v>
      </c>
      <c r="D835" s="5" t="s">
        <v>35</v>
      </c>
      <c r="E835" s="5" t="s">
        <v>39</v>
      </c>
      <c r="F835" s="5" t="s">
        <v>162</v>
      </c>
      <c r="G835" s="5" t="s">
        <v>193</v>
      </c>
      <c r="H835" s="5" t="s">
        <v>194</v>
      </c>
      <c r="I835" s="5" t="s">
        <v>63</v>
      </c>
      <c r="J835" s="5">
        <v>16.712973999999999</v>
      </c>
      <c r="K835" s="5">
        <v>-94.748219000000006</v>
      </c>
      <c r="L835" s="5" t="str">
        <f>HYPERLINK("https://maps.google.com/?q=16.712974,-94.748219000000006", "🔗 Ver Mapa")</f>
        <v>🔗 Ver Mapa</v>
      </c>
    </row>
    <row r="836" spans="1:12" ht="43.5" x14ac:dyDescent="0.35">
      <c r="A836" s="6" t="s">
        <v>8</v>
      </c>
      <c r="B836" s="6" t="s">
        <v>16</v>
      </c>
      <c r="C836" s="6" t="s">
        <v>192</v>
      </c>
      <c r="D836" s="6" t="s">
        <v>35</v>
      </c>
      <c r="E836" s="6" t="s">
        <v>39</v>
      </c>
      <c r="F836" s="6" t="s">
        <v>162</v>
      </c>
      <c r="G836" s="6" t="s">
        <v>193</v>
      </c>
      <c r="H836" s="6" t="s">
        <v>194</v>
      </c>
      <c r="I836" s="6" t="s">
        <v>63</v>
      </c>
      <c r="J836" s="6">
        <v>16.712989</v>
      </c>
      <c r="K836" s="6">
        <v>-94.747692999999998</v>
      </c>
      <c r="L836" s="6" t="str">
        <f>HYPERLINK("https://maps.google.com/?q=16.712989,-94.747692999999998", "🔗 Ver Mapa")</f>
        <v>🔗 Ver Mapa</v>
      </c>
    </row>
    <row r="837" spans="1:12" ht="43.5" x14ac:dyDescent="0.35">
      <c r="A837" s="5" t="s">
        <v>8</v>
      </c>
      <c r="B837" s="5" t="s">
        <v>16</v>
      </c>
      <c r="C837" s="5" t="s">
        <v>192</v>
      </c>
      <c r="D837" s="5" t="s">
        <v>35</v>
      </c>
      <c r="E837" s="5" t="s">
        <v>39</v>
      </c>
      <c r="F837" s="5" t="s">
        <v>162</v>
      </c>
      <c r="G837" s="5" t="s">
        <v>193</v>
      </c>
      <c r="H837" s="5" t="s">
        <v>194</v>
      </c>
      <c r="I837" s="5" t="s">
        <v>63</v>
      </c>
      <c r="J837" s="5">
        <v>16.712994999999999</v>
      </c>
      <c r="K837" s="5">
        <v>-94.748103</v>
      </c>
      <c r="L837" s="5" t="str">
        <f>HYPERLINK("https://maps.google.com/?q=16.712995,-94.748103", "🔗 Ver Mapa")</f>
        <v>🔗 Ver Mapa</v>
      </c>
    </row>
    <row r="838" spans="1:12" ht="43.5" x14ac:dyDescent="0.35">
      <c r="A838" s="6" t="s">
        <v>8</v>
      </c>
      <c r="B838" s="6" t="s">
        <v>16</v>
      </c>
      <c r="C838" s="6" t="s">
        <v>192</v>
      </c>
      <c r="D838" s="6" t="s">
        <v>35</v>
      </c>
      <c r="E838" s="6" t="s">
        <v>39</v>
      </c>
      <c r="F838" s="6" t="s">
        <v>162</v>
      </c>
      <c r="G838" s="6" t="s">
        <v>193</v>
      </c>
      <c r="H838" s="6" t="s">
        <v>194</v>
      </c>
      <c r="I838" s="6" t="s">
        <v>63</v>
      </c>
      <c r="J838" s="6">
        <v>16.713056000000002</v>
      </c>
      <c r="K838" s="6">
        <v>-94.745457000000002</v>
      </c>
      <c r="L838" s="6" t="str">
        <f>HYPERLINK("https://maps.google.com/?q=16.713056,-94.745457000000002", "🔗 Ver Mapa")</f>
        <v>🔗 Ver Mapa</v>
      </c>
    </row>
    <row r="839" spans="1:12" ht="43.5" x14ac:dyDescent="0.35">
      <c r="A839" s="5" t="s">
        <v>8</v>
      </c>
      <c r="B839" s="5" t="s">
        <v>16</v>
      </c>
      <c r="C839" s="5" t="s">
        <v>192</v>
      </c>
      <c r="D839" s="5" t="s">
        <v>35</v>
      </c>
      <c r="E839" s="5" t="s">
        <v>39</v>
      </c>
      <c r="F839" s="5" t="s">
        <v>162</v>
      </c>
      <c r="G839" s="5" t="s">
        <v>193</v>
      </c>
      <c r="H839" s="5" t="s">
        <v>194</v>
      </c>
      <c r="I839" s="5" t="s">
        <v>63</v>
      </c>
      <c r="J839" s="5">
        <v>16.713062999999998</v>
      </c>
      <c r="K839" s="5">
        <v>-94.748303000000007</v>
      </c>
      <c r="L839" s="5" t="str">
        <f>HYPERLINK("https://maps.google.com/?q=16.713063,-94.748303000000007", "🔗 Ver Mapa")</f>
        <v>🔗 Ver Mapa</v>
      </c>
    </row>
    <row r="840" spans="1:12" ht="43.5" x14ac:dyDescent="0.35">
      <c r="A840" s="6" t="s">
        <v>8</v>
      </c>
      <c r="B840" s="6" t="s">
        <v>16</v>
      </c>
      <c r="C840" s="6" t="s">
        <v>192</v>
      </c>
      <c r="D840" s="6" t="s">
        <v>35</v>
      </c>
      <c r="E840" s="6" t="s">
        <v>39</v>
      </c>
      <c r="F840" s="6" t="s">
        <v>162</v>
      </c>
      <c r="G840" s="6" t="s">
        <v>193</v>
      </c>
      <c r="H840" s="6" t="s">
        <v>194</v>
      </c>
      <c r="I840" s="6" t="s">
        <v>63</v>
      </c>
      <c r="J840" s="6">
        <v>16.713151078566</v>
      </c>
      <c r="K840" s="6">
        <v>-94.745523970570005</v>
      </c>
      <c r="L840" s="6" t="str">
        <f>HYPERLINK("https://maps.google.com/?q=16.7131510785658,-94.745523970569593", "🔗 Ver Mapa")</f>
        <v>🔗 Ver Mapa</v>
      </c>
    </row>
    <row r="841" spans="1:12" ht="43.5" x14ac:dyDescent="0.35">
      <c r="A841" s="5" t="s">
        <v>8</v>
      </c>
      <c r="B841" s="5" t="s">
        <v>16</v>
      </c>
      <c r="C841" s="5" t="s">
        <v>192</v>
      </c>
      <c r="D841" s="5" t="s">
        <v>35</v>
      </c>
      <c r="E841" s="5" t="s">
        <v>39</v>
      </c>
      <c r="F841" s="5" t="s">
        <v>162</v>
      </c>
      <c r="G841" s="5" t="s">
        <v>193</v>
      </c>
      <c r="H841" s="5" t="s">
        <v>194</v>
      </c>
      <c r="I841" s="5" t="s">
        <v>63</v>
      </c>
      <c r="J841" s="5">
        <v>16.713215000000002</v>
      </c>
      <c r="K841" s="5">
        <v>-94.749205000000003</v>
      </c>
      <c r="L841" s="5" t="str">
        <f>HYPERLINK("https://maps.google.com/?q=16.713215,-94.749205000000003", "🔗 Ver Mapa")</f>
        <v>🔗 Ver Mapa</v>
      </c>
    </row>
    <row r="842" spans="1:12" ht="43.5" x14ac:dyDescent="0.35">
      <c r="A842" s="6" t="s">
        <v>8</v>
      </c>
      <c r="B842" s="6" t="s">
        <v>16</v>
      </c>
      <c r="C842" s="6" t="s">
        <v>192</v>
      </c>
      <c r="D842" s="6" t="s">
        <v>35</v>
      </c>
      <c r="E842" s="6" t="s">
        <v>39</v>
      </c>
      <c r="F842" s="6" t="s">
        <v>162</v>
      </c>
      <c r="G842" s="6" t="s">
        <v>193</v>
      </c>
      <c r="H842" s="6" t="s">
        <v>194</v>
      </c>
      <c r="I842" s="6" t="s">
        <v>63</v>
      </c>
      <c r="J842" s="6">
        <v>16.71325671</v>
      </c>
      <c r="K842" s="6">
        <v>-94.747181429999998</v>
      </c>
      <c r="L842" s="6" t="str">
        <f>HYPERLINK("https://maps.google.com/?q=16.71325671,-94.747181429999998", "🔗 Ver Mapa")</f>
        <v>🔗 Ver Mapa</v>
      </c>
    </row>
    <row r="843" spans="1:12" ht="43.5" x14ac:dyDescent="0.35">
      <c r="A843" s="5" t="s">
        <v>8</v>
      </c>
      <c r="B843" s="5" t="s">
        <v>16</v>
      </c>
      <c r="C843" s="5" t="s">
        <v>192</v>
      </c>
      <c r="D843" s="5" t="s">
        <v>35</v>
      </c>
      <c r="E843" s="5" t="s">
        <v>39</v>
      </c>
      <c r="F843" s="5" t="s">
        <v>162</v>
      </c>
      <c r="G843" s="5" t="s">
        <v>193</v>
      </c>
      <c r="H843" s="5" t="s">
        <v>194</v>
      </c>
      <c r="I843" s="5" t="s">
        <v>63</v>
      </c>
      <c r="J843" s="5">
        <v>16.713283000000001</v>
      </c>
      <c r="K843" s="5">
        <v>-94.749337999999995</v>
      </c>
      <c r="L843" s="5" t="str">
        <f>HYPERLINK("https://maps.google.com/?q=16.713283,-94.749337999999995", "🔗 Ver Mapa")</f>
        <v>🔗 Ver Mapa</v>
      </c>
    </row>
    <row r="844" spans="1:12" ht="43.5" x14ac:dyDescent="0.35">
      <c r="A844" s="6" t="s">
        <v>8</v>
      </c>
      <c r="B844" s="6" t="s">
        <v>16</v>
      </c>
      <c r="C844" s="6" t="s">
        <v>192</v>
      </c>
      <c r="D844" s="6" t="s">
        <v>35</v>
      </c>
      <c r="E844" s="6" t="s">
        <v>39</v>
      </c>
      <c r="F844" s="6" t="s">
        <v>162</v>
      </c>
      <c r="G844" s="6" t="s">
        <v>193</v>
      </c>
      <c r="H844" s="6" t="s">
        <v>194</v>
      </c>
      <c r="I844" s="6" t="s">
        <v>63</v>
      </c>
      <c r="J844" s="6">
        <v>16.713298000000002</v>
      </c>
      <c r="K844" s="6">
        <v>-94.746329000000003</v>
      </c>
      <c r="L844" s="6" t="str">
        <f>HYPERLINK("https://maps.google.com/?q=16.713298,-94.746329000000003", "🔗 Ver Mapa")</f>
        <v>🔗 Ver Mapa</v>
      </c>
    </row>
    <row r="845" spans="1:12" ht="43.5" x14ac:dyDescent="0.35">
      <c r="A845" s="5" t="s">
        <v>8</v>
      </c>
      <c r="B845" s="5" t="s">
        <v>16</v>
      </c>
      <c r="C845" s="5" t="s">
        <v>192</v>
      </c>
      <c r="D845" s="5" t="s">
        <v>35</v>
      </c>
      <c r="E845" s="5" t="s">
        <v>39</v>
      </c>
      <c r="F845" s="5" t="s">
        <v>162</v>
      </c>
      <c r="G845" s="5" t="s">
        <v>193</v>
      </c>
      <c r="H845" s="5" t="s">
        <v>194</v>
      </c>
      <c r="I845" s="5" t="s">
        <v>63</v>
      </c>
      <c r="J845" s="5">
        <v>16.713312999999999</v>
      </c>
      <c r="K845" s="5">
        <v>-94.746674999999996</v>
      </c>
      <c r="L845" s="5" t="str">
        <f>HYPERLINK("https://maps.google.com/?q=16.713313,-94.746674999999996", "🔗 Ver Mapa")</f>
        <v>🔗 Ver Mapa</v>
      </c>
    </row>
    <row r="846" spans="1:12" ht="43.5" x14ac:dyDescent="0.35">
      <c r="A846" s="6" t="s">
        <v>8</v>
      </c>
      <c r="B846" s="6" t="s">
        <v>16</v>
      </c>
      <c r="C846" s="6" t="s">
        <v>192</v>
      </c>
      <c r="D846" s="6" t="s">
        <v>35</v>
      </c>
      <c r="E846" s="6" t="s">
        <v>39</v>
      </c>
      <c r="F846" s="6" t="s">
        <v>162</v>
      </c>
      <c r="G846" s="6" t="s">
        <v>193</v>
      </c>
      <c r="H846" s="6" t="s">
        <v>194</v>
      </c>
      <c r="I846" s="6" t="s">
        <v>63</v>
      </c>
      <c r="J846" s="6">
        <v>16.713316589222998</v>
      </c>
      <c r="K846" s="6">
        <v>-94.749453775462996</v>
      </c>
      <c r="L846" s="6" t="str">
        <f>HYPERLINK("https://maps.google.com/?q=16.7133165892227,-94.749453775463095", "🔗 Ver Mapa")</f>
        <v>🔗 Ver Mapa</v>
      </c>
    </row>
    <row r="847" spans="1:12" ht="43.5" x14ac:dyDescent="0.35">
      <c r="A847" s="5" t="s">
        <v>8</v>
      </c>
      <c r="B847" s="5" t="s">
        <v>16</v>
      </c>
      <c r="C847" s="5" t="s">
        <v>192</v>
      </c>
      <c r="D847" s="5" t="s">
        <v>35</v>
      </c>
      <c r="E847" s="5" t="s">
        <v>39</v>
      </c>
      <c r="F847" s="5" t="s">
        <v>162</v>
      </c>
      <c r="G847" s="5" t="s">
        <v>193</v>
      </c>
      <c r="H847" s="5" t="s">
        <v>194</v>
      </c>
      <c r="I847" s="5" t="s">
        <v>63</v>
      </c>
      <c r="J847" s="5">
        <v>16.713339000000001</v>
      </c>
      <c r="K847" s="5">
        <v>-94.747540000000001</v>
      </c>
      <c r="L847" s="5" t="str">
        <f>HYPERLINK("https://maps.google.com/?q=16.713339,-94.747540000000001", "🔗 Ver Mapa")</f>
        <v>🔗 Ver Mapa</v>
      </c>
    </row>
    <row r="848" spans="1:12" ht="43.5" x14ac:dyDescent="0.35">
      <c r="A848" s="6" t="s">
        <v>8</v>
      </c>
      <c r="B848" s="6" t="s">
        <v>16</v>
      </c>
      <c r="C848" s="6" t="s">
        <v>192</v>
      </c>
      <c r="D848" s="6" t="s">
        <v>35</v>
      </c>
      <c r="E848" s="6" t="s">
        <v>39</v>
      </c>
      <c r="F848" s="6" t="s">
        <v>162</v>
      </c>
      <c r="G848" s="6" t="s">
        <v>193</v>
      </c>
      <c r="H848" s="6" t="s">
        <v>194</v>
      </c>
      <c r="I848" s="6" t="s">
        <v>63</v>
      </c>
      <c r="J848" s="6">
        <v>16.713415999999999</v>
      </c>
      <c r="K848" s="6">
        <v>-94.746181000000007</v>
      </c>
      <c r="L848" s="6" t="str">
        <f>HYPERLINK("https://maps.google.com/?q=16.713416,-94.746181000000007", "🔗 Ver Mapa")</f>
        <v>🔗 Ver Mapa</v>
      </c>
    </row>
    <row r="849" spans="1:12" ht="43.5" x14ac:dyDescent="0.35">
      <c r="A849" s="5" t="s">
        <v>8</v>
      </c>
      <c r="B849" s="5" t="s">
        <v>16</v>
      </c>
      <c r="C849" s="5" t="s">
        <v>192</v>
      </c>
      <c r="D849" s="5" t="s">
        <v>35</v>
      </c>
      <c r="E849" s="5" t="s">
        <v>39</v>
      </c>
      <c r="F849" s="5" t="s">
        <v>162</v>
      </c>
      <c r="G849" s="5" t="s">
        <v>193</v>
      </c>
      <c r="H849" s="5" t="s">
        <v>194</v>
      </c>
      <c r="I849" s="5" t="s">
        <v>63</v>
      </c>
      <c r="J849" s="5">
        <v>16.713435</v>
      </c>
      <c r="K849" s="5">
        <v>-94.749493999999999</v>
      </c>
      <c r="L849" s="5" t="str">
        <f>HYPERLINK("https://maps.google.com/?q=16.713435,-94.749493999999999", "🔗 Ver Mapa")</f>
        <v>🔗 Ver Mapa</v>
      </c>
    </row>
    <row r="850" spans="1:12" ht="43.5" x14ac:dyDescent="0.35">
      <c r="A850" s="6" t="s">
        <v>8</v>
      </c>
      <c r="B850" s="6" t="s">
        <v>16</v>
      </c>
      <c r="C850" s="6" t="s">
        <v>192</v>
      </c>
      <c r="D850" s="6" t="s">
        <v>35</v>
      </c>
      <c r="E850" s="6" t="s">
        <v>39</v>
      </c>
      <c r="F850" s="6" t="s">
        <v>162</v>
      </c>
      <c r="G850" s="6" t="s">
        <v>193</v>
      </c>
      <c r="H850" s="6" t="s">
        <v>194</v>
      </c>
      <c r="I850" s="6" t="s">
        <v>63</v>
      </c>
      <c r="J850" s="6">
        <v>16.713684000000001</v>
      </c>
      <c r="K850" s="6">
        <v>-94.745984000000007</v>
      </c>
      <c r="L850" s="6" t="str">
        <f>HYPERLINK("https://maps.google.com/?q=16.713684,-94.745984000000007", "🔗 Ver Mapa")</f>
        <v>🔗 Ver Mapa</v>
      </c>
    </row>
    <row r="851" spans="1:12" ht="43.5" x14ac:dyDescent="0.35">
      <c r="A851" s="5" t="s">
        <v>8</v>
      </c>
      <c r="B851" s="5" t="s">
        <v>16</v>
      </c>
      <c r="C851" s="5" t="s">
        <v>192</v>
      </c>
      <c r="D851" s="5" t="s">
        <v>35</v>
      </c>
      <c r="E851" s="5" t="s">
        <v>39</v>
      </c>
      <c r="F851" s="5" t="s">
        <v>162</v>
      </c>
      <c r="G851" s="5" t="s">
        <v>193</v>
      </c>
      <c r="H851" s="5" t="s">
        <v>194</v>
      </c>
      <c r="I851" s="5" t="s">
        <v>63</v>
      </c>
      <c r="J851" s="5">
        <v>16.71377</v>
      </c>
      <c r="K851" s="5">
        <v>-94.749960000000002</v>
      </c>
      <c r="L851" s="5" t="str">
        <f>HYPERLINK("https://maps.google.com/?q=16.71377,-94.749960000000002", "🔗 Ver Mapa")</f>
        <v>🔗 Ver Mapa</v>
      </c>
    </row>
    <row r="852" spans="1:12" ht="43.5" x14ac:dyDescent="0.35">
      <c r="A852" s="6" t="s">
        <v>8</v>
      </c>
      <c r="B852" s="6" t="s">
        <v>16</v>
      </c>
      <c r="C852" s="6" t="s">
        <v>192</v>
      </c>
      <c r="D852" s="6" t="s">
        <v>35</v>
      </c>
      <c r="E852" s="6" t="s">
        <v>39</v>
      </c>
      <c r="F852" s="6" t="s">
        <v>162</v>
      </c>
      <c r="G852" s="6" t="s">
        <v>193</v>
      </c>
      <c r="H852" s="6" t="s">
        <v>194</v>
      </c>
      <c r="I852" s="6" t="s">
        <v>63</v>
      </c>
      <c r="J852" s="6">
        <v>16.713785000000001</v>
      </c>
      <c r="K852" s="6">
        <v>-94.750106000000002</v>
      </c>
      <c r="L852" s="6" t="str">
        <f>HYPERLINK("https://maps.google.com/?q=16.713785,-94.750106000000002", "🔗 Ver Mapa")</f>
        <v>🔗 Ver Mapa</v>
      </c>
    </row>
    <row r="853" spans="1:12" ht="43.5" x14ac:dyDescent="0.35">
      <c r="A853" s="5" t="s">
        <v>8</v>
      </c>
      <c r="B853" s="5" t="s">
        <v>16</v>
      </c>
      <c r="C853" s="5" t="s">
        <v>192</v>
      </c>
      <c r="D853" s="5" t="s">
        <v>35</v>
      </c>
      <c r="E853" s="5" t="s">
        <v>39</v>
      </c>
      <c r="F853" s="5" t="s">
        <v>162</v>
      </c>
      <c r="G853" s="5" t="s">
        <v>193</v>
      </c>
      <c r="H853" s="5" t="s">
        <v>194</v>
      </c>
      <c r="I853" s="5" t="s">
        <v>63</v>
      </c>
      <c r="J853" s="5">
        <v>16.713789999999999</v>
      </c>
      <c r="K853" s="5">
        <v>-94.749187000000006</v>
      </c>
      <c r="L853" s="5" t="str">
        <f>HYPERLINK("https://maps.google.com/?q=16.71379,-94.749187000000006", "🔗 Ver Mapa")</f>
        <v>🔗 Ver Mapa</v>
      </c>
    </row>
    <row r="854" spans="1:12" ht="43.5" x14ac:dyDescent="0.35">
      <c r="A854" s="6" t="s">
        <v>8</v>
      </c>
      <c r="B854" s="6" t="s">
        <v>16</v>
      </c>
      <c r="C854" s="6" t="s">
        <v>192</v>
      </c>
      <c r="D854" s="6" t="s">
        <v>35</v>
      </c>
      <c r="E854" s="6" t="s">
        <v>39</v>
      </c>
      <c r="F854" s="6" t="s">
        <v>162</v>
      </c>
      <c r="G854" s="6" t="s">
        <v>193</v>
      </c>
      <c r="H854" s="6" t="s">
        <v>194</v>
      </c>
      <c r="I854" s="6" t="s">
        <v>63</v>
      </c>
      <c r="J854" s="6">
        <v>16.713799999999999</v>
      </c>
      <c r="K854" s="6">
        <v>-94.747501</v>
      </c>
      <c r="L854" s="6" t="str">
        <f>HYPERLINK("https://maps.google.com/?q=16.7138,-94.747501", "🔗 Ver Mapa")</f>
        <v>🔗 Ver Mapa</v>
      </c>
    </row>
    <row r="855" spans="1:12" ht="43.5" x14ac:dyDescent="0.35">
      <c r="A855" s="5" t="s">
        <v>8</v>
      </c>
      <c r="B855" s="5" t="s">
        <v>16</v>
      </c>
      <c r="C855" s="5" t="s">
        <v>192</v>
      </c>
      <c r="D855" s="5" t="s">
        <v>35</v>
      </c>
      <c r="E855" s="5" t="s">
        <v>39</v>
      </c>
      <c r="F855" s="5" t="s">
        <v>162</v>
      </c>
      <c r="G855" s="5" t="s">
        <v>193</v>
      </c>
      <c r="H855" s="5" t="s">
        <v>194</v>
      </c>
      <c r="I855" s="5" t="s">
        <v>63</v>
      </c>
      <c r="J855" s="5">
        <v>16.713865405935</v>
      </c>
      <c r="K855" s="5">
        <v>-94.748834472387003</v>
      </c>
      <c r="L855" s="5" t="str">
        <f>HYPERLINK("https://maps.google.com/?q=16.7138654059348,-94.748834472387401", "🔗 Ver Mapa")</f>
        <v>🔗 Ver Mapa</v>
      </c>
    </row>
    <row r="856" spans="1:12" ht="43.5" x14ac:dyDescent="0.35">
      <c r="A856" s="6" t="s">
        <v>8</v>
      </c>
      <c r="B856" s="6" t="s">
        <v>16</v>
      </c>
      <c r="C856" s="6" t="s">
        <v>192</v>
      </c>
      <c r="D856" s="6" t="s">
        <v>35</v>
      </c>
      <c r="E856" s="6" t="s">
        <v>39</v>
      </c>
      <c r="F856" s="6" t="s">
        <v>162</v>
      </c>
      <c r="G856" s="6" t="s">
        <v>193</v>
      </c>
      <c r="H856" s="6" t="s">
        <v>194</v>
      </c>
      <c r="I856" s="6" t="s">
        <v>63</v>
      </c>
      <c r="J856" s="6">
        <v>16.713868000000002</v>
      </c>
      <c r="K856" s="6">
        <v>-94.745292000000006</v>
      </c>
      <c r="L856" s="6" t="str">
        <f>HYPERLINK("https://maps.google.com/?q=16.713868,-94.745292000000006", "🔗 Ver Mapa")</f>
        <v>🔗 Ver Mapa</v>
      </c>
    </row>
    <row r="857" spans="1:12" ht="43.5" x14ac:dyDescent="0.35">
      <c r="A857" s="5" t="s">
        <v>8</v>
      </c>
      <c r="B857" s="5" t="s">
        <v>16</v>
      </c>
      <c r="C857" s="5" t="s">
        <v>192</v>
      </c>
      <c r="D857" s="5" t="s">
        <v>35</v>
      </c>
      <c r="E857" s="5" t="s">
        <v>39</v>
      </c>
      <c r="F857" s="5" t="s">
        <v>162</v>
      </c>
      <c r="G857" s="5" t="s">
        <v>193</v>
      </c>
      <c r="H857" s="5" t="s">
        <v>194</v>
      </c>
      <c r="I857" s="5" t="s">
        <v>63</v>
      </c>
      <c r="J857" s="5">
        <v>16.713871999999999</v>
      </c>
      <c r="K857" s="5">
        <v>-94.749954000000002</v>
      </c>
      <c r="L857" s="5" t="str">
        <f>HYPERLINK("https://maps.google.com/?q=16.713872,-94.749954000000002", "🔗 Ver Mapa")</f>
        <v>🔗 Ver Mapa</v>
      </c>
    </row>
    <row r="858" spans="1:12" ht="43.5" x14ac:dyDescent="0.35">
      <c r="A858" s="6" t="s">
        <v>8</v>
      </c>
      <c r="B858" s="6" t="s">
        <v>16</v>
      </c>
      <c r="C858" s="6" t="s">
        <v>192</v>
      </c>
      <c r="D858" s="6" t="s">
        <v>35</v>
      </c>
      <c r="E858" s="6" t="s">
        <v>39</v>
      </c>
      <c r="F858" s="6" t="s">
        <v>162</v>
      </c>
      <c r="G858" s="6" t="s">
        <v>193</v>
      </c>
      <c r="H858" s="6" t="s">
        <v>194</v>
      </c>
      <c r="I858" s="6" t="s">
        <v>63</v>
      </c>
      <c r="J858" s="6">
        <v>16.713906999999999</v>
      </c>
      <c r="K858" s="6">
        <v>-94.746818000000005</v>
      </c>
      <c r="L858" s="6" t="str">
        <f>HYPERLINK("https://maps.google.com/?q=16.713907,-94.746818000000005", "🔗 Ver Mapa")</f>
        <v>🔗 Ver Mapa</v>
      </c>
    </row>
    <row r="859" spans="1:12" ht="43.5" x14ac:dyDescent="0.35">
      <c r="A859" s="5" t="s">
        <v>8</v>
      </c>
      <c r="B859" s="5" t="s">
        <v>16</v>
      </c>
      <c r="C859" s="5" t="s">
        <v>192</v>
      </c>
      <c r="D859" s="5" t="s">
        <v>35</v>
      </c>
      <c r="E859" s="5" t="s">
        <v>39</v>
      </c>
      <c r="F859" s="5" t="s">
        <v>162</v>
      </c>
      <c r="G859" s="5" t="s">
        <v>193</v>
      </c>
      <c r="H859" s="5" t="s">
        <v>194</v>
      </c>
      <c r="I859" s="5" t="s">
        <v>63</v>
      </c>
      <c r="J859" s="5">
        <v>16.714046757314001</v>
      </c>
      <c r="K859" s="5">
        <v>-94.749456838423001</v>
      </c>
      <c r="L859" s="5" t="str">
        <f>HYPERLINK("https://maps.google.com/?q=16.7140467573137,-94.749456838423498", "🔗 Ver Mapa")</f>
        <v>🔗 Ver Mapa</v>
      </c>
    </row>
    <row r="860" spans="1:12" ht="43.5" x14ac:dyDescent="0.35">
      <c r="A860" s="6" t="s">
        <v>8</v>
      </c>
      <c r="B860" s="6" t="s">
        <v>16</v>
      </c>
      <c r="C860" s="6" t="s">
        <v>192</v>
      </c>
      <c r="D860" s="6" t="s">
        <v>35</v>
      </c>
      <c r="E860" s="6" t="s">
        <v>39</v>
      </c>
      <c r="F860" s="6" t="s">
        <v>162</v>
      </c>
      <c r="G860" s="6" t="s">
        <v>193</v>
      </c>
      <c r="H860" s="6" t="s">
        <v>194</v>
      </c>
      <c r="I860" s="6" t="s">
        <v>63</v>
      </c>
      <c r="J860" s="6">
        <v>16.714104500000001</v>
      </c>
      <c r="K860" s="6">
        <v>-94.750296019999993</v>
      </c>
      <c r="L860" s="6" t="str">
        <f>HYPERLINK("https://maps.google.com/?q=16.7141045,-94.750296019999993", "🔗 Ver Mapa")</f>
        <v>🔗 Ver Mapa</v>
      </c>
    </row>
    <row r="861" spans="1:12" ht="43.5" x14ac:dyDescent="0.35">
      <c r="A861" s="5" t="s">
        <v>8</v>
      </c>
      <c r="B861" s="5" t="s">
        <v>16</v>
      </c>
      <c r="C861" s="5" t="s">
        <v>192</v>
      </c>
      <c r="D861" s="5" t="s">
        <v>35</v>
      </c>
      <c r="E861" s="5" t="s">
        <v>39</v>
      </c>
      <c r="F861" s="5" t="s">
        <v>162</v>
      </c>
      <c r="G861" s="5" t="s">
        <v>193</v>
      </c>
      <c r="H861" s="5" t="s">
        <v>194</v>
      </c>
      <c r="I861" s="5" t="s">
        <v>63</v>
      </c>
      <c r="J861" s="5">
        <v>16.714115</v>
      </c>
      <c r="K861" s="5">
        <v>-94.748261999999997</v>
      </c>
      <c r="L861" s="5" t="str">
        <f>HYPERLINK("https://maps.google.com/?q=16.714115,-94.748261999999997", "🔗 Ver Mapa")</f>
        <v>🔗 Ver Mapa</v>
      </c>
    </row>
    <row r="862" spans="1:12" ht="43.5" x14ac:dyDescent="0.35">
      <c r="A862" s="6" t="s">
        <v>8</v>
      </c>
      <c r="B862" s="6" t="s">
        <v>16</v>
      </c>
      <c r="C862" s="6" t="s">
        <v>192</v>
      </c>
      <c r="D862" s="6" t="s">
        <v>35</v>
      </c>
      <c r="E862" s="6" t="s">
        <v>39</v>
      </c>
      <c r="F862" s="6" t="s">
        <v>162</v>
      </c>
      <c r="G862" s="6" t="s">
        <v>193</v>
      </c>
      <c r="H862" s="6" t="s">
        <v>194</v>
      </c>
      <c r="I862" s="6" t="s">
        <v>63</v>
      </c>
      <c r="J862" s="6">
        <v>16.714283999999999</v>
      </c>
      <c r="K862" s="6">
        <v>-94.747077000000004</v>
      </c>
      <c r="L862" s="6" t="str">
        <f>HYPERLINK("https://maps.google.com/?q=16.714284,-94.747077000000004", "🔗 Ver Mapa")</f>
        <v>🔗 Ver Mapa</v>
      </c>
    </row>
    <row r="863" spans="1:12" ht="43.5" x14ac:dyDescent="0.35">
      <c r="A863" s="5" t="s">
        <v>8</v>
      </c>
      <c r="B863" s="5" t="s">
        <v>16</v>
      </c>
      <c r="C863" s="5" t="s">
        <v>192</v>
      </c>
      <c r="D863" s="5" t="s">
        <v>35</v>
      </c>
      <c r="E863" s="5" t="s">
        <v>39</v>
      </c>
      <c r="F863" s="5" t="s">
        <v>162</v>
      </c>
      <c r="G863" s="5" t="s">
        <v>193</v>
      </c>
      <c r="H863" s="5" t="s">
        <v>194</v>
      </c>
      <c r="I863" s="5" t="s">
        <v>63</v>
      </c>
      <c r="J863" s="5">
        <v>16.714292</v>
      </c>
      <c r="K863" s="5">
        <v>-94.746562999999995</v>
      </c>
      <c r="L863" s="5" t="str">
        <f>HYPERLINK("https://maps.google.com/?q=16.714292,-94.746562999999995", "🔗 Ver Mapa")</f>
        <v>🔗 Ver Mapa</v>
      </c>
    </row>
    <row r="864" spans="1:12" ht="43.5" x14ac:dyDescent="0.35">
      <c r="A864" s="6" t="s">
        <v>8</v>
      </c>
      <c r="B864" s="6" t="s">
        <v>16</v>
      </c>
      <c r="C864" s="6" t="s">
        <v>192</v>
      </c>
      <c r="D864" s="6" t="s">
        <v>35</v>
      </c>
      <c r="E864" s="6" t="s">
        <v>39</v>
      </c>
      <c r="F864" s="6" t="s">
        <v>162</v>
      </c>
      <c r="G864" s="6" t="s">
        <v>193</v>
      </c>
      <c r="H864" s="6" t="s">
        <v>194</v>
      </c>
      <c r="I864" s="6" t="s">
        <v>63</v>
      </c>
      <c r="J864" s="6">
        <v>16.714300999999999</v>
      </c>
      <c r="K864" s="6">
        <v>-94.746328000000005</v>
      </c>
      <c r="L864" s="6" t="str">
        <f>HYPERLINK("https://maps.google.com/?q=16.714301,-94.746328000000005", "🔗 Ver Mapa")</f>
        <v>🔗 Ver Mapa</v>
      </c>
    </row>
    <row r="865" spans="1:12" ht="43.5" x14ac:dyDescent="0.35">
      <c r="A865" s="5" t="s">
        <v>8</v>
      </c>
      <c r="B865" s="5" t="s">
        <v>16</v>
      </c>
      <c r="C865" s="5" t="s">
        <v>192</v>
      </c>
      <c r="D865" s="5" t="s">
        <v>35</v>
      </c>
      <c r="E865" s="5" t="s">
        <v>39</v>
      </c>
      <c r="F865" s="5" t="s">
        <v>162</v>
      </c>
      <c r="G865" s="5" t="s">
        <v>193</v>
      </c>
      <c r="H865" s="5" t="s">
        <v>194</v>
      </c>
      <c r="I865" s="5" t="s">
        <v>63</v>
      </c>
      <c r="J865" s="5">
        <v>16.714345999999999</v>
      </c>
      <c r="K865" s="5">
        <v>-94.746786999999998</v>
      </c>
      <c r="L865" s="5" t="str">
        <f>HYPERLINK("https://maps.google.com/?q=16.714346,-94.746786999999998", "🔗 Ver Mapa")</f>
        <v>🔗 Ver Mapa</v>
      </c>
    </row>
    <row r="866" spans="1:12" ht="43.5" x14ac:dyDescent="0.35">
      <c r="A866" s="6" t="s">
        <v>8</v>
      </c>
      <c r="B866" s="6" t="s">
        <v>16</v>
      </c>
      <c r="C866" s="6" t="s">
        <v>192</v>
      </c>
      <c r="D866" s="6" t="s">
        <v>35</v>
      </c>
      <c r="E866" s="6" t="s">
        <v>39</v>
      </c>
      <c r="F866" s="6" t="s">
        <v>162</v>
      </c>
      <c r="G866" s="6" t="s">
        <v>193</v>
      </c>
      <c r="H866" s="6" t="s">
        <v>194</v>
      </c>
      <c r="I866" s="6" t="s">
        <v>63</v>
      </c>
      <c r="J866" s="6">
        <v>16.714371</v>
      </c>
      <c r="K866" s="6">
        <v>-94.749016999999995</v>
      </c>
      <c r="L866" s="6" t="str">
        <f>HYPERLINK("https://maps.google.com/?q=16.714371,-94.749016999999995", "🔗 Ver Mapa")</f>
        <v>🔗 Ver Mapa</v>
      </c>
    </row>
    <row r="867" spans="1:12" ht="43.5" x14ac:dyDescent="0.35">
      <c r="A867" s="5" t="s">
        <v>8</v>
      </c>
      <c r="B867" s="5" t="s">
        <v>16</v>
      </c>
      <c r="C867" s="5" t="s">
        <v>192</v>
      </c>
      <c r="D867" s="5" t="s">
        <v>35</v>
      </c>
      <c r="E867" s="5" t="s">
        <v>39</v>
      </c>
      <c r="F867" s="5" t="s">
        <v>162</v>
      </c>
      <c r="G867" s="5" t="s">
        <v>193</v>
      </c>
      <c r="H867" s="5" t="s">
        <v>194</v>
      </c>
      <c r="I867" s="5" t="s">
        <v>63</v>
      </c>
      <c r="J867" s="5">
        <v>16.714427000000001</v>
      </c>
      <c r="K867" s="5">
        <v>-94.747215999999995</v>
      </c>
      <c r="L867" s="5" t="str">
        <f>HYPERLINK("https://maps.google.com/?q=16.714427,-94.747215999999995", "🔗 Ver Mapa")</f>
        <v>🔗 Ver Mapa</v>
      </c>
    </row>
    <row r="868" spans="1:12" ht="43.5" x14ac:dyDescent="0.35">
      <c r="A868" s="6" t="s">
        <v>8</v>
      </c>
      <c r="B868" s="6" t="s">
        <v>16</v>
      </c>
      <c r="C868" s="6" t="s">
        <v>192</v>
      </c>
      <c r="D868" s="6" t="s">
        <v>35</v>
      </c>
      <c r="E868" s="6" t="s">
        <v>39</v>
      </c>
      <c r="F868" s="6" t="s">
        <v>162</v>
      </c>
      <c r="G868" s="6" t="s">
        <v>193</v>
      </c>
      <c r="H868" s="6" t="s">
        <v>194</v>
      </c>
      <c r="I868" s="6" t="s">
        <v>63</v>
      </c>
      <c r="J868" s="6">
        <v>16.714525999999999</v>
      </c>
      <c r="K868" s="6">
        <v>-94.749450999999993</v>
      </c>
      <c r="L868" s="6" t="str">
        <f>HYPERLINK("https://maps.google.com/?q=16.714526,-94.749450999999993", "🔗 Ver Mapa")</f>
        <v>🔗 Ver Mapa</v>
      </c>
    </row>
    <row r="869" spans="1:12" ht="43.5" x14ac:dyDescent="0.35">
      <c r="A869" s="5" t="s">
        <v>8</v>
      </c>
      <c r="B869" s="5" t="s">
        <v>16</v>
      </c>
      <c r="C869" s="5" t="s">
        <v>192</v>
      </c>
      <c r="D869" s="5" t="s">
        <v>35</v>
      </c>
      <c r="E869" s="5" t="s">
        <v>39</v>
      </c>
      <c r="F869" s="5" t="s">
        <v>162</v>
      </c>
      <c r="G869" s="5" t="s">
        <v>193</v>
      </c>
      <c r="H869" s="5" t="s">
        <v>194</v>
      </c>
      <c r="I869" s="5" t="s">
        <v>63</v>
      </c>
      <c r="J869" s="5">
        <v>16.714624000000001</v>
      </c>
      <c r="K869" s="5">
        <v>-94.748165</v>
      </c>
      <c r="L869" s="5" t="str">
        <f>HYPERLINK("https://maps.google.com/?q=16.714624,-94.748165", "🔗 Ver Mapa")</f>
        <v>🔗 Ver Mapa</v>
      </c>
    </row>
    <row r="870" spans="1:12" ht="43.5" x14ac:dyDescent="0.35">
      <c r="A870" s="6" t="s">
        <v>8</v>
      </c>
      <c r="B870" s="6" t="s">
        <v>16</v>
      </c>
      <c r="C870" s="6" t="s">
        <v>192</v>
      </c>
      <c r="D870" s="6" t="s">
        <v>35</v>
      </c>
      <c r="E870" s="6" t="s">
        <v>39</v>
      </c>
      <c r="F870" s="6" t="s">
        <v>162</v>
      </c>
      <c r="G870" s="6" t="s">
        <v>193</v>
      </c>
      <c r="H870" s="6" t="s">
        <v>194</v>
      </c>
      <c r="I870" s="6" t="s">
        <v>63</v>
      </c>
      <c r="J870" s="6">
        <v>16.714668</v>
      </c>
      <c r="K870" s="6">
        <v>-94.747587999999993</v>
      </c>
      <c r="L870" s="6" t="str">
        <f>HYPERLINK("https://maps.google.com/?q=16.714668,-94.747587999999993", "🔗 Ver Mapa")</f>
        <v>🔗 Ver Mapa</v>
      </c>
    </row>
    <row r="871" spans="1:12" ht="43.5" x14ac:dyDescent="0.35">
      <c r="A871" s="5" t="s">
        <v>8</v>
      </c>
      <c r="B871" s="5" t="s">
        <v>16</v>
      </c>
      <c r="C871" s="5" t="s">
        <v>192</v>
      </c>
      <c r="D871" s="5" t="s">
        <v>35</v>
      </c>
      <c r="E871" s="5" t="s">
        <v>39</v>
      </c>
      <c r="F871" s="5" t="s">
        <v>162</v>
      </c>
      <c r="G871" s="5" t="s">
        <v>193</v>
      </c>
      <c r="H871" s="5" t="s">
        <v>194</v>
      </c>
      <c r="I871" s="5" t="s">
        <v>63</v>
      </c>
      <c r="J871" s="5">
        <v>16.714673000000001</v>
      </c>
      <c r="K871" s="5">
        <v>-94.748114000000001</v>
      </c>
      <c r="L871" s="5" t="str">
        <f>HYPERLINK("https://maps.google.com/?q=16.714673,-94.748114000000001", "🔗 Ver Mapa")</f>
        <v>🔗 Ver Mapa</v>
      </c>
    </row>
    <row r="872" spans="1:12" ht="43.5" x14ac:dyDescent="0.35">
      <c r="A872" s="6" t="s">
        <v>8</v>
      </c>
      <c r="B872" s="6" t="s">
        <v>16</v>
      </c>
      <c r="C872" s="6" t="s">
        <v>192</v>
      </c>
      <c r="D872" s="6" t="s">
        <v>35</v>
      </c>
      <c r="E872" s="6" t="s">
        <v>39</v>
      </c>
      <c r="F872" s="6" t="s">
        <v>162</v>
      </c>
      <c r="G872" s="6" t="s">
        <v>193</v>
      </c>
      <c r="H872" s="6" t="s">
        <v>194</v>
      </c>
      <c r="I872" s="6" t="s">
        <v>63</v>
      </c>
      <c r="J872" s="6">
        <v>16.714695469999999</v>
      </c>
      <c r="K872" s="6">
        <v>-94.749487819999999</v>
      </c>
      <c r="L872" s="6" t="str">
        <f>HYPERLINK("https://maps.google.com/?q=16.71469547,-94.749487819999999", "🔗 Ver Mapa")</f>
        <v>🔗 Ver Mapa</v>
      </c>
    </row>
    <row r="873" spans="1:12" ht="43.5" x14ac:dyDescent="0.35">
      <c r="A873" s="5" t="s">
        <v>8</v>
      </c>
      <c r="B873" s="5" t="s">
        <v>16</v>
      </c>
      <c r="C873" s="5" t="s">
        <v>192</v>
      </c>
      <c r="D873" s="5" t="s">
        <v>35</v>
      </c>
      <c r="E873" s="5" t="s">
        <v>39</v>
      </c>
      <c r="F873" s="5" t="s">
        <v>162</v>
      </c>
      <c r="G873" s="5" t="s">
        <v>193</v>
      </c>
      <c r="H873" s="5" t="s">
        <v>194</v>
      </c>
      <c r="I873" s="5" t="s">
        <v>63</v>
      </c>
      <c r="J873" s="5">
        <v>16.714703</v>
      </c>
      <c r="K873" s="5">
        <v>-94.747414000000006</v>
      </c>
      <c r="L873" s="5" t="str">
        <f>HYPERLINK("https://maps.google.com/?q=16.714703,-94.747414000000006", "🔗 Ver Mapa")</f>
        <v>🔗 Ver Mapa</v>
      </c>
    </row>
    <row r="874" spans="1:12" ht="43.5" x14ac:dyDescent="0.35">
      <c r="A874" s="6" t="s">
        <v>8</v>
      </c>
      <c r="B874" s="6" t="s">
        <v>16</v>
      </c>
      <c r="C874" s="6" t="s">
        <v>192</v>
      </c>
      <c r="D874" s="6" t="s">
        <v>35</v>
      </c>
      <c r="E874" s="6" t="s">
        <v>39</v>
      </c>
      <c r="F874" s="6" t="s">
        <v>162</v>
      </c>
      <c r="G874" s="6" t="s">
        <v>193</v>
      </c>
      <c r="H874" s="6" t="s">
        <v>194</v>
      </c>
      <c r="I874" s="6" t="s">
        <v>63</v>
      </c>
      <c r="J874" s="6">
        <v>16.714713</v>
      </c>
      <c r="K874" s="6">
        <v>-94.747855999999999</v>
      </c>
      <c r="L874" s="6" t="str">
        <f>HYPERLINK("https://maps.google.com/?q=16.714713,-94.747855999999999", "🔗 Ver Mapa")</f>
        <v>🔗 Ver Mapa</v>
      </c>
    </row>
    <row r="875" spans="1:12" ht="43.5" x14ac:dyDescent="0.35">
      <c r="A875" s="5" t="s">
        <v>8</v>
      </c>
      <c r="B875" s="5" t="s">
        <v>16</v>
      </c>
      <c r="C875" s="5" t="s">
        <v>192</v>
      </c>
      <c r="D875" s="5" t="s">
        <v>35</v>
      </c>
      <c r="E875" s="5" t="s">
        <v>39</v>
      </c>
      <c r="F875" s="5" t="s">
        <v>162</v>
      </c>
      <c r="G875" s="5" t="s">
        <v>193</v>
      </c>
      <c r="H875" s="5" t="s">
        <v>194</v>
      </c>
      <c r="I875" s="5" t="s">
        <v>63</v>
      </c>
      <c r="J875" s="5">
        <v>16.714746000000002</v>
      </c>
      <c r="K875" s="5">
        <v>-94.748132999999996</v>
      </c>
      <c r="L875" s="5" t="str">
        <f>HYPERLINK("https://maps.google.com/?q=16.714746,-94.748132999999996", "🔗 Ver Mapa")</f>
        <v>🔗 Ver Mapa</v>
      </c>
    </row>
    <row r="876" spans="1:12" ht="43.5" x14ac:dyDescent="0.35">
      <c r="A876" s="6" t="s">
        <v>8</v>
      </c>
      <c r="B876" s="6" t="s">
        <v>16</v>
      </c>
      <c r="C876" s="6" t="s">
        <v>192</v>
      </c>
      <c r="D876" s="6" t="s">
        <v>35</v>
      </c>
      <c r="E876" s="6" t="s">
        <v>39</v>
      </c>
      <c r="F876" s="6" t="s">
        <v>162</v>
      </c>
      <c r="G876" s="6" t="s">
        <v>193</v>
      </c>
      <c r="H876" s="6" t="s">
        <v>194</v>
      </c>
      <c r="I876" s="6" t="s">
        <v>63</v>
      </c>
      <c r="J876" s="6">
        <v>16.714758614088002</v>
      </c>
      <c r="K876" s="6">
        <v>-94.746524545385995</v>
      </c>
      <c r="L876" s="6" t="str">
        <f>HYPERLINK("https://maps.google.com/?q=16.7147586140876,-94.746524545386293", "🔗 Ver Mapa")</f>
        <v>🔗 Ver Mapa</v>
      </c>
    </row>
    <row r="877" spans="1:12" ht="43.5" x14ac:dyDescent="0.35">
      <c r="A877" s="5" t="s">
        <v>8</v>
      </c>
      <c r="B877" s="5" t="s">
        <v>16</v>
      </c>
      <c r="C877" s="5" t="s">
        <v>192</v>
      </c>
      <c r="D877" s="5" t="s">
        <v>35</v>
      </c>
      <c r="E877" s="5" t="s">
        <v>39</v>
      </c>
      <c r="F877" s="5" t="s">
        <v>162</v>
      </c>
      <c r="G877" s="5" t="s">
        <v>193</v>
      </c>
      <c r="H877" s="5" t="s">
        <v>194</v>
      </c>
      <c r="I877" s="5" t="s">
        <v>63</v>
      </c>
      <c r="J877" s="5">
        <v>16.714874999999999</v>
      </c>
      <c r="K877" s="5">
        <v>-94.746284000000003</v>
      </c>
      <c r="L877" s="5" t="str">
        <f>HYPERLINK("https://maps.google.com/?q=16.714875,-94.746284000000003", "🔗 Ver Mapa")</f>
        <v>🔗 Ver Mapa</v>
      </c>
    </row>
    <row r="878" spans="1:12" ht="43.5" x14ac:dyDescent="0.35">
      <c r="A878" s="6" t="s">
        <v>8</v>
      </c>
      <c r="B878" s="6" t="s">
        <v>16</v>
      </c>
      <c r="C878" s="6" t="s">
        <v>192</v>
      </c>
      <c r="D878" s="6" t="s">
        <v>35</v>
      </c>
      <c r="E878" s="6" t="s">
        <v>39</v>
      </c>
      <c r="F878" s="6" t="s">
        <v>162</v>
      </c>
      <c r="G878" s="6" t="s">
        <v>193</v>
      </c>
      <c r="H878" s="6" t="s">
        <v>194</v>
      </c>
      <c r="I878" s="6" t="s">
        <v>63</v>
      </c>
      <c r="J878" s="6">
        <v>16.714903</v>
      </c>
      <c r="K878" s="6">
        <v>-94.746651</v>
      </c>
      <c r="L878" s="6" t="str">
        <f>HYPERLINK("https://maps.google.com/?q=16.714903,-94.746651", "🔗 Ver Mapa")</f>
        <v>🔗 Ver Mapa</v>
      </c>
    </row>
    <row r="879" spans="1:12" ht="43.5" x14ac:dyDescent="0.35">
      <c r="A879" s="5" t="s">
        <v>8</v>
      </c>
      <c r="B879" s="5" t="s">
        <v>16</v>
      </c>
      <c r="C879" s="5" t="s">
        <v>192</v>
      </c>
      <c r="D879" s="5" t="s">
        <v>35</v>
      </c>
      <c r="E879" s="5" t="s">
        <v>39</v>
      </c>
      <c r="F879" s="5" t="s">
        <v>162</v>
      </c>
      <c r="G879" s="5" t="s">
        <v>193</v>
      </c>
      <c r="H879" s="5" t="s">
        <v>194</v>
      </c>
      <c r="I879" s="5" t="s">
        <v>63</v>
      </c>
      <c r="J879" s="5">
        <v>16.714917</v>
      </c>
      <c r="K879" s="5">
        <v>-94.750324000000006</v>
      </c>
      <c r="L879" s="5" t="str">
        <f>HYPERLINK("https://maps.google.com/?q=16.714917,-94.750324000000006", "🔗 Ver Mapa")</f>
        <v>🔗 Ver Mapa</v>
      </c>
    </row>
    <row r="880" spans="1:12" ht="43.5" x14ac:dyDescent="0.35">
      <c r="A880" s="6" t="s">
        <v>8</v>
      </c>
      <c r="B880" s="6" t="s">
        <v>16</v>
      </c>
      <c r="C880" s="6" t="s">
        <v>192</v>
      </c>
      <c r="D880" s="6" t="s">
        <v>35</v>
      </c>
      <c r="E880" s="6" t="s">
        <v>39</v>
      </c>
      <c r="F880" s="6" t="s">
        <v>162</v>
      </c>
      <c r="G880" s="6" t="s">
        <v>193</v>
      </c>
      <c r="H880" s="6" t="s">
        <v>194</v>
      </c>
      <c r="I880" s="6" t="s">
        <v>63</v>
      </c>
      <c r="J880" s="6">
        <v>16.714942000000001</v>
      </c>
      <c r="K880" s="6">
        <v>-94.748716000000002</v>
      </c>
      <c r="L880" s="6" t="str">
        <f>HYPERLINK("https://maps.google.com/?q=16.714942,-94.748716000000002", "🔗 Ver Mapa")</f>
        <v>🔗 Ver Mapa</v>
      </c>
    </row>
    <row r="881" spans="1:12" ht="43.5" x14ac:dyDescent="0.35">
      <c r="A881" s="5" t="s">
        <v>8</v>
      </c>
      <c r="B881" s="5" t="s">
        <v>16</v>
      </c>
      <c r="C881" s="5" t="s">
        <v>192</v>
      </c>
      <c r="D881" s="5" t="s">
        <v>35</v>
      </c>
      <c r="E881" s="5" t="s">
        <v>39</v>
      </c>
      <c r="F881" s="5" t="s">
        <v>162</v>
      </c>
      <c r="G881" s="5" t="s">
        <v>193</v>
      </c>
      <c r="H881" s="5" t="s">
        <v>194</v>
      </c>
      <c r="I881" s="5" t="s">
        <v>63</v>
      </c>
      <c r="J881" s="5">
        <v>16.714949000000001</v>
      </c>
      <c r="K881" s="5">
        <v>-94.748403999999994</v>
      </c>
      <c r="L881" s="5" t="str">
        <f>HYPERLINK("https://maps.google.com/?q=16.714949,-94.748403999999994", "🔗 Ver Mapa")</f>
        <v>🔗 Ver Mapa</v>
      </c>
    </row>
    <row r="882" spans="1:12" ht="43.5" x14ac:dyDescent="0.35">
      <c r="A882" s="6" t="s">
        <v>8</v>
      </c>
      <c r="B882" s="6" t="s">
        <v>16</v>
      </c>
      <c r="C882" s="6" t="s">
        <v>192</v>
      </c>
      <c r="D882" s="6" t="s">
        <v>35</v>
      </c>
      <c r="E882" s="6" t="s">
        <v>39</v>
      </c>
      <c r="F882" s="6" t="s">
        <v>162</v>
      </c>
      <c r="G882" s="6" t="s">
        <v>193</v>
      </c>
      <c r="H882" s="6" t="s">
        <v>194</v>
      </c>
      <c r="I882" s="6" t="s">
        <v>63</v>
      </c>
      <c r="J882" s="6">
        <v>16.715000625645001</v>
      </c>
      <c r="K882" s="6">
        <v>-94.749035578668</v>
      </c>
      <c r="L882" s="6" t="str">
        <f>HYPERLINK("https://maps.google.com/?q=16.7150006256454,-94.749035578667801", "🔗 Ver Mapa")</f>
        <v>🔗 Ver Mapa</v>
      </c>
    </row>
    <row r="883" spans="1:12" ht="43.5" x14ac:dyDescent="0.35">
      <c r="A883" s="5" t="s">
        <v>8</v>
      </c>
      <c r="B883" s="5" t="s">
        <v>16</v>
      </c>
      <c r="C883" s="5" t="s">
        <v>192</v>
      </c>
      <c r="D883" s="5" t="s">
        <v>35</v>
      </c>
      <c r="E883" s="5" t="s">
        <v>39</v>
      </c>
      <c r="F883" s="5" t="s">
        <v>162</v>
      </c>
      <c r="G883" s="5" t="s">
        <v>193</v>
      </c>
      <c r="H883" s="5" t="s">
        <v>194</v>
      </c>
      <c r="I883" s="5" t="s">
        <v>63</v>
      </c>
      <c r="J883" s="5">
        <v>16.715150000000001</v>
      </c>
      <c r="K883" s="5">
        <v>-94.746046000000007</v>
      </c>
      <c r="L883" s="5" t="str">
        <f>HYPERLINK("https://maps.google.com/?q=16.71515,-94.746046000000007", "🔗 Ver Mapa")</f>
        <v>🔗 Ver Mapa</v>
      </c>
    </row>
    <row r="884" spans="1:12" ht="43.5" x14ac:dyDescent="0.35">
      <c r="A884" s="6" t="s">
        <v>8</v>
      </c>
      <c r="B884" s="6" t="s">
        <v>16</v>
      </c>
      <c r="C884" s="6" t="s">
        <v>192</v>
      </c>
      <c r="D884" s="6" t="s">
        <v>35</v>
      </c>
      <c r="E884" s="6" t="s">
        <v>39</v>
      </c>
      <c r="F884" s="6" t="s">
        <v>162</v>
      </c>
      <c r="G884" s="6" t="s">
        <v>193</v>
      </c>
      <c r="H884" s="6" t="s">
        <v>194</v>
      </c>
      <c r="I884" s="6" t="s">
        <v>63</v>
      </c>
      <c r="J884" s="6">
        <v>16.715225</v>
      </c>
      <c r="K884" s="6">
        <v>-94.745793000000006</v>
      </c>
      <c r="L884" s="6" t="str">
        <f>HYPERLINK("https://maps.google.com/?q=16.715225,-94.745793000000006", "🔗 Ver Mapa")</f>
        <v>🔗 Ver Mapa</v>
      </c>
    </row>
    <row r="885" spans="1:12" ht="43.5" x14ac:dyDescent="0.35">
      <c r="A885" s="5" t="s">
        <v>8</v>
      </c>
      <c r="B885" s="5" t="s">
        <v>16</v>
      </c>
      <c r="C885" s="5" t="s">
        <v>192</v>
      </c>
      <c r="D885" s="5" t="s">
        <v>35</v>
      </c>
      <c r="E885" s="5" t="s">
        <v>39</v>
      </c>
      <c r="F885" s="5" t="s">
        <v>162</v>
      </c>
      <c r="G885" s="5" t="s">
        <v>193</v>
      </c>
      <c r="H885" s="5" t="s">
        <v>194</v>
      </c>
      <c r="I885" s="5" t="s">
        <v>63</v>
      </c>
      <c r="J885" s="5">
        <v>16.715254999999999</v>
      </c>
      <c r="K885" s="5">
        <v>-94.749684000000002</v>
      </c>
      <c r="L885" s="5" t="str">
        <f>HYPERLINK("https://maps.google.com/?q=16.715255,-94.749684000000002", "🔗 Ver Mapa")</f>
        <v>🔗 Ver Mapa</v>
      </c>
    </row>
    <row r="886" spans="1:12" ht="43.5" x14ac:dyDescent="0.35">
      <c r="A886" s="6" t="s">
        <v>8</v>
      </c>
      <c r="B886" s="6" t="s">
        <v>16</v>
      </c>
      <c r="C886" s="6" t="s">
        <v>192</v>
      </c>
      <c r="D886" s="6" t="s">
        <v>35</v>
      </c>
      <c r="E886" s="6" t="s">
        <v>39</v>
      </c>
      <c r="F886" s="6" t="s">
        <v>162</v>
      </c>
      <c r="G886" s="6" t="s">
        <v>193</v>
      </c>
      <c r="H886" s="6" t="s">
        <v>194</v>
      </c>
      <c r="I886" s="6" t="s">
        <v>63</v>
      </c>
      <c r="J886" s="6">
        <v>16.715326999999998</v>
      </c>
      <c r="K886" s="6">
        <v>-94.748041700000002</v>
      </c>
      <c r="L886" s="6" t="str">
        <f>HYPERLINK("https://maps.google.com/?q=16.715327,-94.748041700000002", "🔗 Ver Mapa")</f>
        <v>🔗 Ver Mapa</v>
      </c>
    </row>
    <row r="887" spans="1:12" ht="43.5" x14ac:dyDescent="0.35">
      <c r="A887" s="5" t="s">
        <v>8</v>
      </c>
      <c r="B887" s="5" t="s">
        <v>16</v>
      </c>
      <c r="C887" s="5" t="s">
        <v>192</v>
      </c>
      <c r="D887" s="5" t="s">
        <v>35</v>
      </c>
      <c r="E887" s="5" t="s">
        <v>39</v>
      </c>
      <c r="F887" s="5" t="s">
        <v>162</v>
      </c>
      <c r="G887" s="5" t="s">
        <v>193</v>
      </c>
      <c r="H887" s="5" t="s">
        <v>194</v>
      </c>
      <c r="I887" s="5" t="s">
        <v>63</v>
      </c>
      <c r="J887" s="5">
        <v>16.715373108874001</v>
      </c>
      <c r="K887" s="5">
        <v>-94.748539369729002</v>
      </c>
      <c r="L887" s="5" t="str">
        <f>HYPERLINK("https://maps.google.com/?q=16.7153731088738,-94.748539369728505", "🔗 Ver Mapa")</f>
        <v>🔗 Ver Mapa</v>
      </c>
    </row>
    <row r="888" spans="1:12" ht="43.5" x14ac:dyDescent="0.35">
      <c r="A888" s="6" t="s">
        <v>8</v>
      </c>
      <c r="B888" s="6" t="s">
        <v>16</v>
      </c>
      <c r="C888" s="6" t="s">
        <v>192</v>
      </c>
      <c r="D888" s="6" t="s">
        <v>35</v>
      </c>
      <c r="E888" s="6" t="s">
        <v>39</v>
      </c>
      <c r="F888" s="6" t="s">
        <v>162</v>
      </c>
      <c r="G888" s="6" t="s">
        <v>193</v>
      </c>
      <c r="H888" s="6" t="s">
        <v>194</v>
      </c>
      <c r="I888" s="6" t="s">
        <v>63</v>
      </c>
      <c r="J888" s="6">
        <v>16.715374086716999</v>
      </c>
      <c r="K888" s="6">
        <v>-94.748309466270001</v>
      </c>
      <c r="L888" s="6" t="str">
        <f>HYPERLINK("https://maps.google.com/?q=16.7153740867174,-94.748309466270399", "🔗 Ver Mapa")</f>
        <v>🔗 Ver Mapa</v>
      </c>
    </row>
    <row r="889" spans="1:12" ht="43.5" x14ac:dyDescent="0.35">
      <c r="A889" s="5" t="s">
        <v>8</v>
      </c>
      <c r="B889" s="5" t="s">
        <v>16</v>
      </c>
      <c r="C889" s="5" t="s">
        <v>192</v>
      </c>
      <c r="D889" s="5" t="s">
        <v>35</v>
      </c>
      <c r="E889" s="5" t="s">
        <v>39</v>
      </c>
      <c r="F889" s="5" t="s">
        <v>162</v>
      </c>
      <c r="G889" s="5" t="s">
        <v>193</v>
      </c>
      <c r="H889" s="5" t="s">
        <v>194</v>
      </c>
      <c r="I889" s="5" t="s">
        <v>63</v>
      </c>
      <c r="J889" s="5">
        <v>16.715387</v>
      </c>
      <c r="K889" s="5">
        <v>-94.748238000000001</v>
      </c>
      <c r="L889" s="5" t="str">
        <f>HYPERLINK("https://maps.google.com/?q=16.715387,-94.748238000000001", "🔗 Ver Mapa")</f>
        <v>🔗 Ver Mapa</v>
      </c>
    </row>
    <row r="890" spans="1:12" ht="43.5" x14ac:dyDescent="0.35">
      <c r="A890" s="6" t="s">
        <v>8</v>
      </c>
      <c r="B890" s="6" t="s">
        <v>16</v>
      </c>
      <c r="C890" s="6" t="s">
        <v>192</v>
      </c>
      <c r="D890" s="6" t="s">
        <v>35</v>
      </c>
      <c r="E890" s="6" t="s">
        <v>39</v>
      </c>
      <c r="F890" s="6" t="s">
        <v>162</v>
      </c>
      <c r="G890" s="6" t="s">
        <v>193</v>
      </c>
      <c r="H890" s="6" t="s">
        <v>194</v>
      </c>
      <c r="I890" s="6" t="s">
        <v>63</v>
      </c>
      <c r="J890" s="6">
        <v>16.715392000000001</v>
      </c>
      <c r="K890" s="6">
        <v>-94.745997000000003</v>
      </c>
      <c r="L890" s="6" t="str">
        <f>HYPERLINK("https://maps.google.com/?q=16.715392,-94.745997000000003", "🔗 Ver Mapa")</f>
        <v>🔗 Ver Mapa</v>
      </c>
    </row>
    <row r="891" spans="1:12" ht="43.5" x14ac:dyDescent="0.35">
      <c r="A891" s="5" t="s">
        <v>8</v>
      </c>
      <c r="B891" s="5" t="s">
        <v>16</v>
      </c>
      <c r="C891" s="5" t="s">
        <v>192</v>
      </c>
      <c r="D891" s="5" t="s">
        <v>35</v>
      </c>
      <c r="E891" s="5" t="s">
        <v>39</v>
      </c>
      <c r="F891" s="5" t="s">
        <v>162</v>
      </c>
      <c r="G891" s="5" t="s">
        <v>193</v>
      </c>
      <c r="H891" s="5" t="s">
        <v>194</v>
      </c>
      <c r="I891" s="5" t="s">
        <v>63</v>
      </c>
      <c r="J891" s="5">
        <v>16.715420999999999</v>
      </c>
      <c r="K891" s="5">
        <v>-94.746291999999997</v>
      </c>
      <c r="L891" s="5" t="str">
        <f>HYPERLINK("https://maps.google.com/?q=16.715421,-94.746291999999997", "🔗 Ver Mapa")</f>
        <v>🔗 Ver Mapa</v>
      </c>
    </row>
    <row r="892" spans="1:12" ht="43.5" x14ac:dyDescent="0.35">
      <c r="A892" s="6" t="s">
        <v>8</v>
      </c>
      <c r="B892" s="6" t="s">
        <v>16</v>
      </c>
      <c r="C892" s="6" t="s">
        <v>192</v>
      </c>
      <c r="D892" s="6" t="s">
        <v>35</v>
      </c>
      <c r="E892" s="6" t="s">
        <v>39</v>
      </c>
      <c r="F892" s="6" t="s">
        <v>162</v>
      </c>
      <c r="G892" s="6" t="s">
        <v>193</v>
      </c>
      <c r="H892" s="6" t="s">
        <v>194</v>
      </c>
      <c r="I892" s="6" t="s">
        <v>63</v>
      </c>
      <c r="J892" s="6">
        <v>16.715449412367001</v>
      </c>
      <c r="K892" s="6">
        <v>-94.745708466823004</v>
      </c>
      <c r="L892" s="6" t="str">
        <f>HYPERLINK("https://maps.google.com/?q=16.7154494123667,-94.745708466823302", "🔗 Ver Mapa")</f>
        <v>🔗 Ver Mapa</v>
      </c>
    </row>
    <row r="893" spans="1:12" ht="43.5" x14ac:dyDescent="0.35">
      <c r="A893" s="5" t="s">
        <v>8</v>
      </c>
      <c r="B893" s="5" t="s">
        <v>16</v>
      </c>
      <c r="C893" s="5" t="s">
        <v>192</v>
      </c>
      <c r="D893" s="5" t="s">
        <v>35</v>
      </c>
      <c r="E893" s="5" t="s">
        <v>39</v>
      </c>
      <c r="F893" s="5" t="s">
        <v>162</v>
      </c>
      <c r="G893" s="5" t="s">
        <v>193</v>
      </c>
      <c r="H893" s="5" t="s">
        <v>194</v>
      </c>
      <c r="I893" s="5" t="s">
        <v>63</v>
      </c>
      <c r="J893" s="5">
        <v>16.715564000000001</v>
      </c>
      <c r="K893" s="5">
        <v>-94.746095999999994</v>
      </c>
      <c r="L893" s="5" t="str">
        <f>HYPERLINK("https://maps.google.com/?q=16.715564,-94.746095999999994", "🔗 Ver Mapa")</f>
        <v>🔗 Ver Mapa</v>
      </c>
    </row>
    <row r="894" spans="1:12" ht="43.5" x14ac:dyDescent="0.35">
      <c r="A894" s="6" t="s">
        <v>8</v>
      </c>
      <c r="B894" s="6" t="s">
        <v>16</v>
      </c>
      <c r="C894" s="6" t="s">
        <v>192</v>
      </c>
      <c r="D894" s="6" t="s">
        <v>35</v>
      </c>
      <c r="E894" s="6" t="s">
        <v>39</v>
      </c>
      <c r="F894" s="6" t="s">
        <v>162</v>
      </c>
      <c r="G894" s="6" t="s">
        <v>193</v>
      </c>
      <c r="H894" s="6" t="s">
        <v>194</v>
      </c>
      <c r="I894" s="6" t="s">
        <v>63</v>
      </c>
      <c r="J894" s="6">
        <v>16.715579999999999</v>
      </c>
      <c r="K894" s="6">
        <v>-94.745884000000004</v>
      </c>
      <c r="L894" s="6" t="str">
        <f>HYPERLINK("https://maps.google.com/?q=16.71558,-94.745884000000004", "🔗 Ver Mapa")</f>
        <v>🔗 Ver Mapa</v>
      </c>
    </row>
    <row r="895" spans="1:12" ht="43.5" x14ac:dyDescent="0.35">
      <c r="A895" s="5" t="s">
        <v>8</v>
      </c>
      <c r="B895" s="5" t="s">
        <v>16</v>
      </c>
      <c r="C895" s="5" t="s">
        <v>192</v>
      </c>
      <c r="D895" s="5" t="s">
        <v>35</v>
      </c>
      <c r="E895" s="5" t="s">
        <v>39</v>
      </c>
      <c r="F895" s="5" t="s">
        <v>162</v>
      </c>
      <c r="G895" s="5" t="s">
        <v>193</v>
      </c>
      <c r="H895" s="5" t="s">
        <v>194</v>
      </c>
      <c r="I895" s="5" t="s">
        <v>63</v>
      </c>
      <c r="J895" s="5">
        <v>16.715585999999998</v>
      </c>
      <c r="K895" s="5">
        <v>-94.745720000000006</v>
      </c>
      <c r="L895" s="5" t="str">
        <f>HYPERLINK("https://maps.google.com/?q=16.715586,-94.745720000000006", "🔗 Ver Mapa")</f>
        <v>🔗 Ver Mapa</v>
      </c>
    </row>
    <row r="896" spans="1:12" ht="43.5" x14ac:dyDescent="0.35">
      <c r="A896" s="6" t="s">
        <v>8</v>
      </c>
      <c r="B896" s="6" t="s">
        <v>16</v>
      </c>
      <c r="C896" s="6" t="s">
        <v>192</v>
      </c>
      <c r="D896" s="6" t="s">
        <v>35</v>
      </c>
      <c r="E896" s="6" t="s">
        <v>39</v>
      </c>
      <c r="F896" s="6" t="s">
        <v>162</v>
      </c>
      <c r="G896" s="6" t="s">
        <v>193</v>
      </c>
      <c r="H896" s="6" t="s">
        <v>194</v>
      </c>
      <c r="I896" s="6" t="s">
        <v>63</v>
      </c>
      <c r="J896" s="6">
        <v>16.7156138</v>
      </c>
      <c r="K896" s="6">
        <v>-94.745204299999997</v>
      </c>
      <c r="L896" s="6" t="str">
        <f>HYPERLINK("https://maps.google.com/?q=16.7156138,-94.745204299999997", "🔗 Ver Mapa")</f>
        <v>🔗 Ver Mapa</v>
      </c>
    </row>
    <row r="897" spans="1:12" ht="43.5" x14ac:dyDescent="0.35">
      <c r="A897" s="5" t="s">
        <v>8</v>
      </c>
      <c r="B897" s="5" t="s">
        <v>16</v>
      </c>
      <c r="C897" s="5" t="s">
        <v>192</v>
      </c>
      <c r="D897" s="5" t="s">
        <v>35</v>
      </c>
      <c r="E897" s="5" t="s">
        <v>39</v>
      </c>
      <c r="F897" s="5" t="s">
        <v>162</v>
      </c>
      <c r="G897" s="5" t="s">
        <v>193</v>
      </c>
      <c r="H897" s="5" t="s">
        <v>194</v>
      </c>
      <c r="I897" s="5" t="s">
        <v>63</v>
      </c>
      <c r="J897" s="5">
        <v>16.715620478537002</v>
      </c>
      <c r="K897" s="5">
        <v>-94.745742011657001</v>
      </c>
      <c r="L897" s="5" t="str">
        <f>HYPERLINK("https://maps.google.com/?q=16.715620478537,-94.745742011656802", "🔗 Ver Mapa")</f>
        <v>🔗 Ver Mapa</v>
      </c>
    </row>
    <row r="898" spans="1:12" ht="43.5" x14ac:dyDescent="0.35">
      <c r="A898" s="6" t="s">
        <v>8</v>
      </c>
      <c r="B898" s="6" t="s">
        <v>16</v>
      </c>
      <c r="C898" s="6" t="s">
        <v>192</v>
      </c>
      <c r="D898" s="6" t="s">
        <v>35</v>
      </c>
      <c r="E898" s="6" t="s">
        <v>39</v>
      </c>
      <c r="F898" s="6" t="s">
        <v>162</v>
      </c>
      <c r="G898" s="6" t="s">
        <v>193</v>
      </c>
      <c r="H898" s="6" t="s">
        <v>194</v>
      </c>
      <c r="I898" s="6" t="s">
        <v>63</v>
      </c>
      <c r="J898" s="6">
        <v>16.715655999999999</v>
      </c>
      <c r="K898" s="6">
        <v>-94.745795999999999</v>
      </c>
      <c r="L898" s="6" t="str">
        <f>HYPERLINK("https://maps.google.com/?q=16.715656,-94.745795999999999", "🔗 Ver Mapa")</f>
        <v>🔗 Ver Mapa</v>
      </c>
    </row>
    <row r="899" spans="1:12" ht="43.5" x14ac:dyDescent="0.35">
      <c r="A899" s="5" t="s">
        <v>8</v>
      </c>
      <c r="B899" s="5" t="s">
        <v>16</v>
      </c>
      <c r="C899" s="5" t="s">
        <v>192</v>
      </c>
      <c r="D899" s="5" t="s">
        <v>35</v>
      </c>
      <c r="E899" s="5" t="s">
        <v>39</v>
      </c>
      <c r="F899" s="5" t="s">
        <v>162</v>
      </c>
      <c r="G899" s="5" t="s">
        <v>193</v>
      </c>
      <c r="H899" s="5" t="s">
        <v>194</v>
      </c>
      <c r="I899" s="5" t="s">
        <v>63</v>
      </c>
      <c r="J899" s="5">
        <v>16.715755000000001</v>
      </c>
      <c r="K899" s="5">
        <v>-94.749668</v>
      </c>
      <c r="L899" s="5" t="str">
        <f>HYPERLINK("https://maps.google.com/?q=16.715755,-94.749668", "🔗 Ver Mapa")</f>
        <v>🔗 Ver Mapa</v>
      </c>
    </row>
    <row r="900" spans="1:12" ht="43.5" x14ac:dyDescent="0.35">
      <c r="A900" s="6" t="s">
        <v>8</v>
      </c>
      <c r="B900" s="6" t="s">
        <v>16</v>
      </c>
      <c r="C900" s="6" t="s">
        <v>192</v>
      </c>
      <c r="D900" s="6" t="s">
        <v>35</v>
      </c>
      <c r="E900" s="6" t="s">
        <v>39</v>
      </c>
      <c r="F900" s="6" t="s">
        <v>162</v>
      </c>
      <c r="G900" s="6" t="s">
        <v>193</v>
      </c>
      <c r="H900" s="6" t="s">
        <v>194</v>
      </c>
      <c r="I900" s="6" t="s">
        <v>63</v>
      </c>
      <c r="J900" s="6">
        <v>16.715755999999999</v>
      </c>
      <c r="K900" s="6">
        <v>-94.745677999999998</v>
      </c>
      <c r="L900" s="6" t="str">
        <f>HYPERLINK("https://maps.google.com/?q=16.715756,-94.745677999999998", "🔗 Ver Mapa")</f>
        <v>🔗 Ver Mapa</v>
      </c>
    </row>
    <row r="901" spans="1:12" ht="43.5" x14ac:dyDescent="0.35">
      <c r="A901" s="5" t="s">
        <v>8</v>
      </c>
      <c r="B901" s="5" t="s">
        <v>16</v>
      </c>
      <c r="C901" s="5" t="s">
        <v>192</v>
      </c>
      <c r="D901" s="5" t="s">
        <v>35</v>
      </c>
      <c r="E901" s="5" t="s">
        <v>39</v>
      </c>
      <c r="F901" s="5" t="s">
        <v>162</v>
      </c>
      <c r="G901" s="5" t="s">
        <v>193</v>
      </c>
      <c r="H901" s="5" t="s">
        <v>194</v>
      </c>
      <c r="I901" s="5" t="s">
        <v>63</v>
      </c>
      <c r="J901" s="5">
        <v>16.715852000000002</v>
      </c>
      <c r="K901" s="5">
        <v>-94.745301999999995</v>
      </c>
      <c r="L901" s="5" t="str">
        <f>HYPERLINK("https://maps.google.com/?q=16.715852,-94.745301999999995", "🔗 Ver Mapa")</f>
        <v>🔗 Ver Mapa</v>
      </c>
    </row>
    <row r="902" spans="1:12" ht="43.5" x14ac:dyDescent="0.35">
      <c r="A902" s="6" t="s">
        <v>8</v>
      </c>
      <c r="B902" s="6" t="s">
        <v>16</v>
      </c>
      <c r="C902" s="6" t="s">
        <v>192</v>
      </c>
      <c r="D902" s="6" t="s">
        <v>35</v>
      </c>
      <c r="E902" s="6" t="s">
        <v>39</v>
      </c>
      <c r="F902" s="6" t="s">
        <v>162</v>
      </c>
      <c r="G902" s="6" t="s">
        <v>193</v>
      </c>
      <c r="H902" s="6" t="s">
        <v>194</v>
      </c>
      <c r="I902" s="6" t="s">
        <v>63</v>
      </c>
      <c r="J902" s="6">
        <v>16.715910000000001</v>
      </c>
      <c r="K902" s="6">
        <v>-94.746002000000004</v>
      </c>
      <c r="L902" s="6" t="str">
        <f>HYPERLINK("https://maps.google.com/?q=16.71591,-94.746002000000004", "🔗 Ver Mapa")</f>
        <v>🔗 Ver Mapa</v>
      </c>
    </row>
    <row r="903" spans="1:12" ht="43.5" x14ac:dyDescent="0.35">
      <c r="A903" s="5" t="s">
        <v>8</v>
      </c>
      <c r="B903" s="5" t="s">
        <v>16</v>
      </c>
      <c r="C903" s="5" t="s">
        <v>192</v>
      </c>
      <c r="D903" s="5" t="s">
        <v>35</v>
      </c>
      <c r="E903" s="5" t="s">
        <v>39</v>
      </c>
      <c r="F903" s="5" t="s">
        <v>162</v>
      </c>
      <c r="G903" s="5" t="s">
        <v>193</v>
      </c>
      <c r="H903" s="5" t="s">
        <v>194</v>
      </c>
      <c r="I903" s="5" t="s">
        <v>63</v>
      </c>
      <c r="J903" s="5">
        <v>16.715939031127999</v>
      </c>
      <c r="K903" s="5">
        <v>-94.745632259507005</v>
      </c>
      <c r="L903" s="5" t="str">
        <f>HYPERLINK("https://maps.google.com/?q=16.7159390311282,-94.745632259507204", "🔗 Ver Mapa")</f>
        <v>🔗 Ver Mapa</v>
      </c>
    </row>
    <row r="904" spans="1:12" ht="43.5" x14ac:dyDescent="0.35">
      <c r="A904" s="6" t="s">
        <v>8</v>
      </c>
      <c r="B904" s="6" t="s">
        <v>16</v>
      </c>
      <c r="C904" s="6" t="s">
        <v>192</v>
      </c>
      <c r="D904" s="6" t="s">
        <v>35</v>
      </c>
      <c r="E904" s="6" t="s">
        <v>39</v>
      </c>
      <c r="F904" s="6" t="s">
        <v>162</v>
      </c>
      <c r="G904" s="6" t="s">
        <v>193</v>
      </c>
      <c r="H904" s="6" t="s">
        <v>194</v>
      </c>
      <c r="I904" s="6" t="s">
        <v>63</v>
      </c>
      <c r="J904" s="6">
        <v>16.716320899999999</v>
      </c>
      <c r="K904" s="6">
        <v>-94.746555700000002</v>
      </c>
      <c r="L904" s="6" t="str">
        <f>HYPERLINK("https://maps.google.com/?q=16.7163209,-94.746555700000002", "🔗 Ver Mapa")</f>
        <v>🔗 Ver Mapa</v>
      </c>
    </row>
    <row r="905" spans="1:12" ht="43.5" x14ac:dyDescent="0.35">
      <c r="A905" s="5" t="s">
        <v>8</v>
      </c>
      <c r="B905" s="5" t="s">
        <v>16</v>
      </c>
      <c r="C905" s="5" t="s">
        <v>192</v>
      </c>
      <c r="D905" s="5" t="s">
        <v>35</v>
      </c>
      <c r="E905" s="5" t="s">
        <v>39</v>
      </c>
      <c r="F905" s="5" t="s">
        <v>162</v>
      </c>
      <c r="G905" s="5" t="s">
        <v>193</v>
      </c>
      <c r="H905" s="5" t="s">
        <v>194</v>
      </c>
      <c r="I905" s="5" t="s">
        <v>63</v>
      </c>
      <c r="J905" s="5">
        <v>16.716325999999999</v>
      </c>
      <c r="K905" s="5">
        <v>-94.746126000000004</v>
      </c>
      <c r="L905" s="5" t="str">
        <f>HYPERLINK("https://maps.google.com/?q=16.716326,-94.746126000000004", "🔗 Ver Mapa")</f>
        <v>🔗 Ver Mapa</v>
      </c>
    </row>
    <row r="906" spans="1:12" ht="43.5" x14ac:dyDescent="0.35">
      <c r="A906" s="6" t="s">
        <v>8</v>
      </c>
      <c r="B906" s="6" t="s">
        <v>16</v>
      </c>
      <c r="C906" s="6" t="s">
        <v>192</v>
      </c>
      <c r="D906" s="6" t="s">
        <v>35</v>
      </c>
      <c r="E906" s="6" t="s">
        <v>39</v>
      </c>
      <c r="F906" s="6" t="s">
        <v>162</v>
      </c>
      <c r="G906" s="6" t="s">
        <v>193</v>
      </c>
      <c r="H906" s="6" t="s">
        <v>194</v>
      </c>
      <c r="I906" s="6" t="s">
        <v>63</v>
      </c>
      <c r="J906" s="6">
        <v>16.7163316</v>
      </c>
      <c r="K906" s="6">
        <v>-94.745871699999995</v>
      </c>
      <c r="L906" s="6" t="str">
        <f>HYPERLINK("https://maps.google.com/?q=16.7163316,-94.745871699999995", "🔗 Ver Mapa")</f>
        <v>🔗 Ver Mapa</v>
      </c>
    </row>
    <row r="907" spans="1:12" ht="43.5" x14ac:dyDescent="0.35">
      <c r="A907" s="5" t="s">
        <v>8</v>
      </c>
      <c r="B907" s="5" t="s">
        <v>16</v>
      </c>
      <c r="C907" s="5" t="s">
        <v>192</v>
      </c>
      <c r="D907" s="5" t="s">
        <v>35</v>
      </c>
      <c r="E907" s="5" t="s">
        <v>39</v>
      </c>
      <c r="F907" s="5" t="s">
        <v>162</v>
      </c>
      <c r="G907" s="5" t="s">
        <v>193</v>
      </c>
      <c r="H907" s="5" t="s">
        <v>194</v>
      </c>
      <c r="I907" s="5" t="s">
        <v>63</v>
      </c>
      <c r="J907" s="5">
        <v>16.716341</v>
      </c>
      <c r="K907" s="5">
        <v>-94.747850999999997</v>
      </c>
      <c r="L907" s="5" t="str">
        <f>HYPERLINK("https://maps.google.com/?q=16.716341,-94.747850999999997", "🔗 Ver Mapa")</f>
        <v>🔗 Ver Mapa</v>
      </c>
    </row>
    <row r="908" spans="1:12" ht="43.5" x14ac:dyDescent="0.35">
      <c r="A908" s="6" t="s">
        <v>8</v>
      </c>
      <c r="B908" s="6" t="s">
        <v>16</v>
      </c>
      <c r="C908" s="6" t="s">
        <v>192</v>
      </c>
      <c r="D908" s="6" t="s">
        <v>35</v>
      </c>
      <c r="E908" s="6" t="s">
        <v>39</v>
      </c>
      <c r="F908" s="6" t="s">
        <v>162</v>
      </c>
      <c r="G908" s="6" t="s">
        <v>193</v>
      </c>
      <c r="H908" s="6" t="s">
        <v>194</v>
      </c>
      <c r="I908" s="6" t="s">
        <v>63</v>
      </c>
      <c r="J908" s="6">
        <v>16.71635663</v>
      </c>
      <c r="K908" s="6">
        <v>-94.745637500000001</v>
      </c>
      <c r="L908" s="6" t="str">
        <f>HYPERLINK("https://maps.google.com/?q=16.71635663,-94.745637500000001", "🔗 Ver Mapa")</f>
        <v>🔗 Ver Mapa</v>
      </c>
    </row>
    <row r="909" spans="1:12" ht="43.5" x14ac:dyDescent="0.35">
      <c r="A909" s="5" t="s">
        <v>8</v>
      </c>
      <c r="B909" s="5" t="s">
        <v>16</v>
      </c>
      <c r="C909" s="5" t="s">
        <v>192</v>
      </c>
      <c r="D909" s="5" t="s">
        <v>35</v>
      </c>
      <c r="E909" s="5" t="s">
        <v>39</v>
      </c>
      <c r="F909" s="5" t="s">
        <v>162</v>
      </c>
      <c r="G909" s="5" t="s">
        <v>193</v>
      </c>
      <c r="H909" s="5" t="s">
        <v>194</v>
      </c>
      <c r="I909" s="5" t="s">
        <v>63</v>
      </c>
      <c r="J909" s="5">
        <v>16.716402009999999</v>
      </c>
      <c r="K909" s="5">
        <v>-94.74582298</v>
      </c>
      <c r="L909" s="5" t="str">
        <f>HYPERLINK("https://maps.google.com/?q=16.71640201,-94.74582298", "🔗 Ver Mapa")</f>
        <v>🔗 Ver Mapa</v>
      </c>
    </row>
    <row r="910" spans="1:12" ht="43.5" x14ac:dyDescent="0.35">
      <c r="A910" s="6" t="s">
        <v>8</v>
      </c>
      <c r="B910" s="6" t="s">
        <v>16</v>
      </c>
      <c r="C910" s="6" t="s">
        <v>192</v>
      </c>
      <c r="D910" s="6" t="s">
        <v>35</v>
      </c>
      <c r="E910" s="6" t="s">
        <v>39</v>
      </c>
      <c r="F910" s="6" t="s">
        <v>162</v>
      </c>
      <c r="G910" s="6" t="s">
        <v>193</v>
      </c>
      <c r="H910" s="6" t="s">
        <v>194</v>
      </c>
      <c r="I910" s="6" t="s">
        <v>63</v>
      </c>
      <c r="J910" s="6">
        <v>16.716439000000001</v>
      </c>
      <c r="K910" s="6">
        <v>-94.749870999999999</v>
      </c>
      <c r="L910" s="6" t="str">
        <f>HYPERLINK("https://maps.google.com/?q=16.716439,-94.749870999999999", "🔗 Ver Mapa")</f>
        <v>🔗 Ver Mapa</v>
      </c>
    </row>
    <row r="911" spans="1:12" ht="43.5" x14ac:dyDescent="0.35">
      <c r="A911" s="5" t="s">
        <v>8</v>
      </c>
      <c r="B911" s="5" t="s">
        <v>16</v>
      </c>
      <c r="C911" s="5" t="s">
        <v>192</v>
      </c>
      <c r="D911" s="5" t="s">
        <v>35</v>
      </c>
      <c r="E911" s="5" t="s">
        <v>39</v>
      </c>
      <c r="F911" s="5" t="s">
        <v>162</v>
      </c>
      <c r="G911" s="5" t="s">
        <v>193</v>
      </c>
      <c r="H911" s="5" t="s">
        <v>194</v>
      </c>
      <c r="I911" s="5" t="s">
        <v>63</v>
      </c>
      <c r="J911" s="5">
        <v>16.716629999999999</v>
      </c>
      <c r="K911" s="5">
        <v>-94.745743000000004</v>
      </c>
      <c r="L911" s="5" t="str">
        <f>HYPERLINK("https://maps.google.com/?q=16.71663,-94.745743000000004", "🔗 Ver Mapa")</f>
        <v>🔗 Ver Mapa</v>
      </c>
    </row>
    <row r="912" spans="1:12" ht="43.5" x14ac:dyDescent="0.35">
      <c r="A912" s="6" t="s">
        <v>8</v>
      </c>
      <c r="B912" s="6" t="s">
        <v>16</v>
      </c>
      <c r="C912" s="6" t="s">
        <v>192</v>
      </c>
      <c r="D912" s="6" t="s">
        <v>35</v>
      </c>
      <c r="E912" s="6" t="s">
        <v>39</v>
      </c>
      <c r="F912" s="6" t="s">
        <v>162</v>
      </c>
      <c r="G912" s="6" t="s">
        <v>193</v>
      </c>
      <c r="H912" s="6" t="s">
        <v>194</v>
      </c>
      <c r="I912" s="6" t="s">
        <v>63</v>
      </c>
      <c r="J912" s="6">
        <v>16.716835</v>
      </c>
      <c r="K912" s="6">
        <v>-94.744675000000001</v>
      </c>
      <c r="L912" s="6" t="str">
        <f>HYPERLINK("https://maps.google.com/?q=16.716835,-94.744675000000001", "🔗 Ver Mapa")</f>
        <v>🔗 Ver Mapa</v>
      </c>
    </row>
    <row r="913" spans="1:12" ht="43.5" x14ac:dyDescent="0.35">
      <c r="A913" s="5" t="s">
        <v>8</v>
      </c>
      <c r="B913" s="5" t="s">
        <v>16</v>
      </c>
      <c r="C913" s="5" t="s">
        <v>192</v>
      </c>
      <c r="D913" s="5" t="s">
        <v>35</v>
      </c>
      <c r="E913" s="5" t="s">
        <v>39</v>
      </c>
      <c r="F913" s="5" t="s">
        <v>162</v>
      </c>
      <c r="G913" s="5" t="s">
        <v>193</v>
      </c>
      <c r="H913" s="5" t="s">
        <v>194</v>
      </c>
      <c r="I913" s="5" t="s">
        <v>63</v>
      </c>
      <c r="J913" s="5">
        <v>16.716884</v>
      </c>
      <c r="K913" s="5">
        <v>-94.745659000000003</v>
      </c>
      <c r="L913" s="5" t="str">
        <f>HYPERLINK("https://maps.google.com/?q=16.716884,-94.745659000000003", "🔗 Ver Mapa")</f>
        <v>🔗 Ver Mapa</v>
      </c>
    </row>
    <row r="914" spans="1:12" ht="43.5" x14ac:dyDescent="0.35">
      <c r="A914" s="6" t="s">
        <v>8</v>
      </c>
      <c r="B914" s="6" t="s">
        <v>16</v>
      </c>
      <c r="C914" s="6" t="s">
        <v>192</v>
      </c>
      <c r="D914" s="6" t="s">
        <v>35</v>
      </c>
      <c r="E914" s="6" t="s">
        <v>39</v>
      </c>
      <c r="F914" s="6" t="s">
        <v>162</v>
      </c>
      <c r="G914" s="6" t="s">
        <v>193</v>
      </c>
      <c r="H914" s="6" t="s">
        <v>194</v>
      </c>
      <c r="I914" s="6" t="s">
        <v>63</v>
      </c>
      <c r="J914" s="6">
        <v>16.717093967016002</v>
      </c>
      <c r="K914" s="6">
        <v>-94.744448389515</v>
      </c>
      <c r="L914" s="6" t="str">
        <f>HYPERLINK("https://maps.google.com/?q=16.7170939670159,-94.744448389514602", "🔗 Ver Mapa")</f>
        <v>🔗 Ver Mapa</v>
      </c>
    </row>
    <row r="915" spans="1:12" ht="43.5" x14ac:dyDescent="0.35">
      <c r="A915" s="5" t="s">
        <v>8</v>
      </c>
      <c r="B915" s="5" t="s">
        <v>16</v>
      </c>
      <c r="C915" s="5" t="s">
        <v>192</v>
      </c>
      <c r="D915" s="5" t="s">
        <v>35</v>
      </c>
      <c r="E915" s="5" t="s">
        <v>39</v>
      </c>
      <c r="F915" s="5" t="s">
        <v>162</v>
      </c>
      <c r="G915" s="5" t="s">
        <v>193</v>
      </c>
      <c r="H915" s="5" t="s">
        <v>194</v>
      </c>
      <c r="I915" s="5" t="s">
        <v>63</v>
      </c>
      <c r="J915" s="5">
        <v>16.717117600000002</v>
      </c>
      <c r="K915" s="5">
        <v>-94.744687999999996</v>
      </c>
      <c r="L915" s="5" t="str">
        <f>HYPERLINK("https://maps.google.com/?q=16.7171176,-94.744687999999996", "🔗 Ver Mapa")</f>
        <v>🔗 Ver Mapa</v>
      </c>
    </row>
    <row r="916" spans="1:12" ht="43.5" x14ac:dyDescent="0.35">
      <c r="A916" s="6" t="s">
        <v>8</v>
      </c>
      <c r="B916" s="6" t="s">
        <v>16</v>
      </c>
      <c r="C916" s="6" t="s">
        <v>192</v>
      </c>
      <c r="D916" s="6" t="s">
        <v>35</v>
      </c>
      <c r="E916" s="6" t="s">
        <v>39</v>
      </c>
      <c r="F916" s="6" t="s">
        <v>162</v>
      </c>
      <c r="G916" s="6" t="s">
        <v>193</v>
      </c>
      <c r="H916" s="6" t="s">
        <v>194</v>
      </c>
      <c r="I916" s="6" t="s">
        <v>63</v>
      </c>
      <c r="J916" s="6">
        <v>16.717416532982998</v>
      </c>
      <c r="K916" s="6">
        <v>-94.744728672343001</v>
      </c>
      <c r="L916" s="6" t="str">
        <f>HYPERLINK("https://maps.google.com/?q=16.7174165329828,-94.7447286723433", "🔗 Ver Mapa")</f>
        <v>🔗 Ver Mapa</v>
      </c>
    </row>
    <row r="917" spans="1:12" ht="43.5" x14ac:dyDescent="0.35">
      <c r="A917" s="5" t="s">
        <v>8</v>
      </c>
      <c r="B917" s="5" t="s">
        <v>16</v>
      </c>
      <c r="C917" s="5" t="s">
        <v>195</v>
      </c>
      <c r="D917" s="5" t="s">
        <v>35</v>
      </c>
      <c r="E917" s="5" t="s">
        <v>39</v>
      </c>
      <c r="F917" s="5" t="s">
        <v>162</v>
      </c>
      <c r="G917" s="5" t="s">
        <v>193</v>
      </c>
      <c r="H917" s="5" t="s">
        <v>196</v>
      </c>
      <c r="I917" s="5" t="s">
        <v>63</v>
      </c>
      <c r="J917" s="5">
        <v>16.673307000000001</v>
      </c>
      <c r="K917" s="5">
        <v>-94.777556000000004</v>
      </c>
      <c r="L917" s="5" t="str">
        <f>HYPERLINK("https://maps.google.com/?q=16.673307,-94.777556000000004", "🔗 Ver Mapa")</f>
        <v>🔗 Ver Mapa</v>
      </c>
    </row>
    <row r="918" spans="1:12" ht="43.5" x14ac:dyDescent="0.35">
      <c r="A918" s="6" t="s">
        <v>8</v>
      </c>
      <c r="B918" s="6" t="s">
        <v>16</v>
      </c>
      <c r="C918" s="6" t="s">
        <v>195</v>
      </c>
      <c r="D918" s="6" t="s">
        <v>35</v>
      </c>
      <c r="E918" s="6" t="s">
        <v>39</v>
      </c>
      <c r="F918" s="6" t="s">
        <v>162</v>
      </c>
      <c r="G918" s="6" t="s">
        <v>193</v>
      </c>
      <c r="H918" s="6" t="s">
        <v>196</v>
      </c>
      <c r="I918" s="6" t="s">
        <v>63</v>
      </c>
      <c r="J918" s="6">
        <v>16.673308887918001</v>
      </c>
      <c r="K918" s="6">
        <v>-94.775775411045004</v>
      </c>
      <c r="L918" s="6" t="str">
        <f>HYPERLINK("https://maps.google.com/?q=16.6733088879181,-94.775775411045004", "🔗 Ver Mapa")</f>
        <v>🔗 Ver Mapa</v>
      </c>
    </row>
    <row r="919" spans="1:12" ht="43.5" x14ac:dyDescent="0.35">
      <c r="A919" s="5" t="s">
        <v>8</v>
      </c>
      <c r="B919" s="5" t="s">
        <v>16</v>
      </c>
      <c r="C919" s="5" t="s">
        <v>195</v>
      </c>
      <c r="D919" s="5" t="s">
        <v>35</v>
      </c>
      <c r="E919" s="5" t="s">
        <v>39</v>
      </c>
      <c r="F919" s="5" t="s">
        <v>162</v>
      </c>
      <c r="G919" s="5" t="s">
        <v>193</v>
      </c>
      <c r="H919" s="5" t="s">
        <v>196</v>
      </c>
      <c r="I919" s="5" t="s">
        <v>63</v>
      </c>
      <c r="J919" s="5">
        <v>16.673349307889001</v>
      </c>
      <c r="K919" s="5">
        <v>-94.777679720972998</v>
      </c>
      <c r="L919" s="5" t="str">
        <f>HYPERLINK("https://maps.google.com/?q=16.6733493078888,-94.777679720972998", "🔗 Ver Mapa")</f>
        <v>🔗 Ver Mapa</v>
      </c>
    </row>
    <row r="920" spans="1:12" ht="43.5" x14ac:dyDescent="0.35">
      <c r="A920" s="6" t="s">
        <v>8</v>
      </c>
      <c r="B920" s="6" t="s">
        <v>16</v>
      </c>
      <c r="C920" s="6" t="s">
        <v>195</v>
      </c>
      <c r="D920" s="6" t="s">
        <v>35</v>
      </c>
      <c r="E920" s="6" t="s">
        <v>39</v>
      </c>
      <c r="F920" s="6" t="s">
        <v>162</v>
      </c>
      <c r="G920" s="6" t="s">
        <v>193</v>
      </c>
      <c r="H920" s="6" t="s">
        <v>196</v>
      </c>
      <c r="I920" s="6" t="s">
        <v>63</v>
      </c>
      <c r="J920" s="6">
        <v>16.673385107927999</v>
      </c>
      <c r="K920" s="6">
        <v>-94.777915254288004</v>
      </c>
      <c r="L920" s="6" t="str">
        <f>HYPERLINK("https://maps.google.com/?q=16.6733851079275,-94.777915254287905", "🔗 Ver Mapa")</f>
        <v>🔗 Ver Mapa</v>
      </c>
    </row>
    <row r="921" spans="1:12" ht="43.5" x14ac:dyDescent="0.35">
      <c r="A921" s="5" t="s">
        <v>8</v>
      </c>
      <c r="B921" s="5" t="s">
        <v>16</v>
      </c>
      <c r="C921" s="5" t="s">
        <v>195</v>
      </c>
      <c r="D921" s="5" t="s">
        <v>35</v>
      </c>
      <c r="E921" s="5" t="s">
        <v>39</v>
      </c>
      <c r="F921" s="5" t="s">
        <v>162</v>
      </c>
      <c r="G921" s="5" t="s">
        <v>193</v>
      </c>
      <c r="H921" s="5" t="s">
        <v>196</v>
      </c>
      <c r="I921" s="5" t="s">
        <v>63</v>
      </c>
      <c r="J921" s="5">
        <v>16.673501999999999</v>
      </c>
      <c r="K921" s="5">
        <v>-94.77722</v>
      </c>
      <c r="L921" s="5" t="str">
        <f>HYPERLINK("https://maps.google.com/?q=16.673502,-94.77722", "🔗 Ver Mapa")</f>
        <v>🔗 Ver Mapa</v>
      </c>
    </row>
    <row r="922" spans="1:12" ht="43.5" x14ac:dyDescent="0.35">
      <c r="A922" s="6" t="s">
        <v>8</v>
      </c>
      <c r="B922" s="6" t="s">
        <v>16</v>
      </c>
      <c r="C922" s="6" t="s">
        <v>195</v>
      </c>
      <c r="D922" s="6" t="s">
        <v>35</v>
      </c>
      <c r="E922" s="6" t="s">
        <v>39</v>
      </c>
      <c r="F922" s="6" t="s">
        <v>162</v>
      </c>
      <c r="G922" s="6" t="s">
        <v>193</v>
      </c>
      <c r="H922" s="6" t="s">
        <v>196</v>
      </c>
      <c r="I922" s="6" t="s">
        <v>63</v>
      </c>
      <c r="J922" s="6">
        <v>16.673565889182001</v>
      </c>
      <c r="K922" s="6">
        <v>-94.776131462126003</v>
      </c>
      <c r="L922" s="6" t="str">
        <f>HYPERLINK("https://maps.google.com/?q=16.6735658891821,-94.776131462125903", "🔗 Ver Mapa")</f>
        <v>🔗 Ver Mapa</v>
      </c>
    </row>
    <row r="923" spans="1:12" ht="43.5" x14ac:dyDescent="0.35">
      <c r="A923" s="5" t="s">
        <v>8</v>
      </c>
      <c r="B923" s="5" t="s">
        <v>16</v>
      </c>
      <c r="C923" s="5" t="s">
        <v>195</v>
      </c>
      <c r="D923" s="5" t="s">
        <v>35</v>
      </c>
      <c r="E923" s="5" t="s">
        <v>39</v>
      </c>
      <c r="F923" s="5" t="s">
        <v>162</v>
      </c>
      <c r="G923" s="5" t="s">
        <v>193</v>
      </c>
      <c r="H923" s="5" t="s">
        <v>196</v>
      </c>
      <c r="I923" s="5" t="s">
        <v>63</v>
      </c>
      <c r="J923" s="5">
        <v>16.673680179506</v>
      </c>
      <c r="K923" s="5">
        <v>-94.776627690807004</v>
      </c>
      <c r="L923" s="5" t="str">
        <f>HYPERLINK("https://maps.google.com/?q=16.6736801795058,-94.776627690807302", "🔗 Ver Mapa")</f>
        <v>🔗 Ver Mapa</v>
      </c>
    </row>
    <row r="924" spans="1:12" ht="43.5" x14ac:dyDescent="0.35">
      <c r="A924" s="6" t="s">
        <v>8</v>
      </c>
      <c r="B924" s="6" t="s">
        <v>16</v>
      </c>
      <c r="C924" s="6" t="s">
        <v>195</v>
      </c>
      <c r="D924" s="6" t="s">
        <v>35</v>
      </c>
      <c r="E924" s="6" t="s">
        <v>39</v>
      </c>
      <c r="F924" s="6" t="s">
        <v>162</v>
      </c>
      <c r="G924" s="6" t="s">
        <v>193</v>
      </c>
      <c r="H924" s="6" t="s">
        <v>196</v>
      </c>
      <c r="I924" s="6" t="s">
        <v>63</v>
      </c>
      <c r="J924" s="6">
        <v>16.673988190742001</v>
      </c>
      <c r="K924" s="6">
        <v>-94.77742134815</v>
      </c>
      <c r="L924" s="6" t="str">
        <f>HYPERLINK("https://maps.google.com/?q=16.6739881907416,-94.777421348149502", "🔗 Ver Mapa")</f>
        <v>🔗 Ver Mapa</v>
      </c>
    </row>
    <row r="925" spans="1:12" ht="43.5" x14ac:dyDescent="0.35">
      <c r="A925" s="5" t="s">
        <v>8</v>
      </c>
      <c r="B925" s="5" t="s">
        <v>16</v>
      </c>
      <c r="C925" s="5" t="s">
        <v>195</v>
      </c>
      <c r="D925" s="5" t="s">
        <v>35</v>
      </c>
      <c r="E925" s="5" t="s">
        <v>39</v>
      </c>
      <c r="F925" s="5" t="s">
        <v>162</v>
      </c>
      <c r="G925" s="5" t="s">
        <v>193</v>
      </c>
      <c r="H925" s="5" t="s">
        <v>196</v>
      </c>
      <c r="I925" s="5" t="s">
        <v>63</v>
      </c>
      <c r="J925" s="5">
        <v>16.674037394357999</v>
      </c>
      <c r="K925" s="5">
        <v>-94.775521168116001</v>
      </c>
      <c r="L925" s="5" t="str">
        <f>HYPERLINK("https://maps.google.com/?q=16.674037394358,-94.775521168115901", "🔗 Ver Mapa")</f>
        <v>🔗 Ver Mapa</v>
      </c>
    </row>
    <row r="926" spans="1:12" ht="43.5" x14ac:dyDescent="0.35">
      <c r="A926" s="6" t="s">
        <v>8</v>
      </c>
      <c r="B926" s="6" t="s">
        <v>16</v>
      </c>
      <c r="C926" s="6" t="s">
        <v>195</v>
      </c>
      <c r="D926" s="6" t="s">
        <v>35</v>
      </c>
      <c r="E926" s="6" t="s">
        <v>39</v>
      </c>
      <c r="F926" s="6" t="s">
        <v>162</v>
      </c>
      <c r="G926" s="6" t="s">
        <v>193</v>
      </c>
      <c r="H926" s="6" t="s">
        <v>196</v>
      </c>
      <c r="I926" s="6" t="s">
        <v>63</v>
      </c>
      <c r="J926" s="6">
        <v>16.674152356172002</v>
      </c>
      <c r="K926" s="6">
        <v>-94.778461224536997</v>
      </c>
      <c r="L926" s="6" t="str">
        <f>HYPERLINK("https://maps.google.com/?q=16.6741523561723,-94.778461224536898", "🔗 Ver Mapa")</f>
        <v>🔗 Ver Mapa</v>
      </c>
    </row>
    <row r="927" spans="1:12" ht="43.5" x14ac:dyDescent="0.35">
      <c r="A927" s="5" t="s">
        <v>8</v>
      </c>
      <c r="B927" s="5" t="s">
        <v>16</v>
      </c>
      <c r="C927" s="5" t="s">
        <v>195</v>
      </c>
      <c r="D927" s="5" t="s">
        <v>35</v>
      </c>
      <c r="E927" s="5" t="s">
        <v>39</v>
      </c>
      <c r="F927" s="5" t="s">
        <v>162</v>
      </c>
      <c r="G927" s="5" t="s">
        <v>193</v>
      </c>
      <c r="H927" s="5" t="s">
        <v>196</v>
      </c>
      <c r="I927" s="5" t="s">
        <v>63</v>
      </c>
      <c r="J927" s="5">
        <v>16.674258713762001</v>
      </c>
      <c r="K927" s="5">
        <v>-94.775233320848997</v>
      </c>
      <c r="L927" s="5" t="str">
        <f>HYPERLINK("https://maps.google.com/?q=16.6742587137619,-94.775233320849395", "🔗 Ver Mapa")</f>
        <v>🔗 Ver Mapa</v>
      </c>
    </row>
    <row r="928" spans="1:12" ht="43.5" x14ac:dyDescent="0.35">
      <c r="A928" s="6" t="s">
        <v>8</v>
      </c>
      <c r="B928" s="6" t="s">
        <v>16</v>
      </c>
      <c r="C928" s="6" t="s">
        <v>195</v>
      </c>
      <c r="D928" s="6" t="s">
        <v>35</v>
      </c>
      <c r="E928" s="6" t="s">
        <v>39</v>
      </c>
      <c r="F928" s="6" t="s">
        <v>162</v>
      </c>
      <c r="G928" s="6" t="s">
        <v>193</v>
      </c>
      <c r="H928" s="6" t="s">
        <v>196</v>
      </c>
      <c r="I928" s="6" t="s">
        <v>63</v>
      </c>
      <c r="J928" s="6">
        <v>16.67436645147</v>
      </c>
      <c r="K928" s="6">
        <v>-94.775484251045</v>
      </c>
      <c r="L928" s="6" t="str">
        <f>HYPERLINK("https://maps.google.com/?q=16.6743664514698,-94.775484251045299", "🔗 Ver Mapa")</f>
        <v>🔗 Ver Mapa</v>
      </c>
    </row>
    <row r="929" spans="1:12" ht="43.5" x14ac:dyDescent="0.35">
      <c r="A929" s="5" t="s">
        <v>8</v>
      </c>
      <c r="B929" s="5" t="s">
        <v>16</v>
      </c>
      <c r="C929" s="5" t="s">
        <v>195</v>
      </c>
      <c r="D929" s="5" t="s">
        <v>35</v>
      </c>
      <c r="E929" s="5" t="s">
        <v>39</v>
      </c>
      <c r="F929" s="5" t="s">
        <v>162</v>
      </c>
      <c r="G929" s="5" t="s">
        <v>193</v>
      </c>
      <c r="H929" s="5" t="s">
        <v>196</v>
      </c>
      <c r="I929" s="5" t="s">
        <v>63</v>
      </c>
      <c r="J929" s="5">
        <v>16.674444999999999</v>
      </c>
      <c r="K929" s="5">
        <v>-94.776409999999998</v>
      </c>
      <c r="L929" s="5" t="str">
        <f>HYPERLINK("https://maps.google.com/?q=16.674445,-94.776409999999998", "🔗 Ver Mapa")</f>
        <v>🔗 Ver Mapa</v>
      </c>
    </row>
    <row r="930" spans="1:12" ht="43.5" x14ac:dyDescent="0.35">
      <c r="A930" s="6" t="s">
        <v>8</v>
      </c>
      <c r="B930" s="6" t="s">
        <v>16</v>
      </c>
      <c r="C930" s="6" t="s">
        <v>195</v>
      </c>
      <c r="D930" s="6" t="s">
        <v>35</v>
      </c>
      <c r="E930" s="6" t="s">
        <v>39</v>
      </c>
      <c r="F930" s="6" t="s">
        <v>162</v>
      </c>
      <c r="G930" s="6" t="s">
        <v>193</v>
      </c>
      <c r="H930" s="6" t="s">
        <v>196</v>
      </c>
      <c r="I930" s="6" t="s">
        <v>63</v>
      </c>
      <c r="J930" s="6">
        <v>16.674751666066001</v>
      </c>
      <c r="K930" s="6">
        <v>-94.775485195683004</v>
      </c>
      <c r="L930" s="6" t="str">
        <f>HYPERLINK("https://maps.google.com/?q=16.6747516660656,-94.775485195683402", "🔗 Ver Mapa")</f>
        <v>🔗 Ver Mapa</v>
      </c>
    </row>
    <row r="931" spans="1:12" ht="43.5" x14ac:dyDescent="0.35">
      <c r="A931" s="5" t="s">
        <v>8</v>
      </c>
      <c r="B931" s="5" t="s">
        <v>16</v>
      </c>
      <c r="C931" s="5" t="s">
        <v>195</v>
      </c>
      <c r="D931" s="5" t="s">
        <v>35</v>
      </c>
      <c r="E931" s="5" t="s">
        <v>39</v>
      </c>
      <c r="F931" s="5" t="s">
        <v>162</v>
      </c>
      <c r="G931" s="5" t="s">
        <v>193</v>
      </c>
      <c r="H931" s="5" t="s">
        <v>196</v>
      </c>
      <c r="I931" s="5" t="s">
        <v>63</v>
      </c>
      <c r="J931" s="5">
        <v>16.674885</v>
      </c>
      <c r="K931" s="5">
        <v>-94.775324999999995</v>
      </c>
      <c r="L931" s="5" t="str">
        <f>HYPERLINK("https://maps.google.com/?q=16.674885,-94.775324999999995", "🔗 Ver Mapa")</f>
        <v>🔗 Ver Mapa</v>
      </c>
    </row>
    <row r="932" spans="1:12" ht="43.5" x14ac:dyDescent="0.35">
      <c r="A932" s="6" t="s">
        <v>8</v>
      </c>
      <c r="B932" s="6" t="s">
        <v>16</v>
      </c>
      <c r="C932" s="6" t="s">
        <v>195</v>
      </c>
      <c r="D932" s="6" t="s">
        <v>35</v>
      </c>
      <c r="E932" s="6" t="s">
        <v>39</v>
      </c>
      <c r="F932" s="6" t="s">
        <v>162</v>
      </c>
      <c r="G932" s="6" t="s">
        <v>193</v>
      </c>
      <c r="H932" s="6" t="s">
        <v>196</v>
      </c>
      <c r="I932" s="6" t="s">
        <v>63</v>
      </c>
      <c r="J932" s="6">
        <v>16.674922443856001</v>
      </c>
      <c r="K932" s="6">
        <v>-94.775689664932003</v>
      </c>
      <c r="L932" s="6" t="str">
        <f>HYPERLINK("https://maps.google.com/?q=16.6749224438563,-94.775689664932202", "🔗 Ver Mapa")</f>
        <v>🔗 Ver Mapa</v>
      </c>
    </row>
    <row r="933" spans="1:12" ht="43.5" x14ac:dyDescent="0.35">
      <c r="A933" s="5" t="s">
        <v>8</v>
      </c>
      <c r="B933" s="5" t="s">
        <v>16</v>
      </c>
      <c r="C933" s="5" t="s">
        <v>195</v>
      </c>
      <c r="D933" s="5" t="s">
        <v>35</v>
      </c>
      <c r="E933" s="5" t="s">
        <v>39</v>
      </c>
      <c r="F933" s="5" t="s">
        <v>162</v>
      </c>
      <c r="G933" s="5" t="s">
        <v>193</v>
      </c>
      <c r="H933" s="5" t="s">
        <v>196</v>
      </c>
      <c r="I933" s="5" t="s">
        <v>63</v>
      </c>
      <c r="J933" s="5">
        <v>16.675059693510001</v>
      </c>
      <c r="K933" s="5">
        <v>-94.774909984996</v>
      </c>
      <c r="L933" s="5" t="str">
        <f>HYPERLINK("https://maps.google.com/?q=16.6750596935101,-94.774909984996199", "🔗 Ver Mapa")</f>
        <v>🔗 Ver Mapa</v>
      </c>
    </row>
    <row r="934" spans="1:12" ht="43.5" x14ac:dyDescent="0.35">
      <c r="A934" s="6" t="s">
        <v>8</v>
      </c>
      <c r="B934" s="6" t="s">
        <v>16</v>
      </c>
      <c r="C934" s="6" t="s">
        <v>195</v>
      </c>
      <c r="D934" s="6" t="s">
        <v>35</v>
      </c>
      <c r="E934" s="6" t="s">
        <v>39</v>
      </c>
      <c r="F934" s="6" t="s">
        <v>162</v>
      </c>
      <c r="G934" s="6" t="s">
        <v>193</v>
      </c>
      <c r="H934" s="6" t="s">
        <v>196</v>
      </c>
      <c r="I934" s="6" t="s">
        <v>63</v>
      </c>
      <c r="J934" s="6">
        <v>16.675129513188999</v>
      </c>
      <c r="K934" s="6">
        <v>-94.775947425183006</v>
      </c>
      <c r="L934" s="6" t="str">
        <f>HYPERLINK("https://maps.google.com/?q=16.6751295131886,-94.775947425183205", "🔗 Ver Mapa")</f>
        <v>🔗 Ver Mapa</v>
      </c>
    </row>
    <row r="935" spans="1:12" ht="43.5" x14ac:dyDescent="0.35">
      <c r="A935" s="5" t="s">
        <v>8</v>
      </c>
      <c r="B935" s="5" t="s">
        <v>16</v>
      </c>
      <c r="C935" s="5" t="s">
        <v>195</v>
      </c>
      <c r="D935" s="5" t="s">
        <v>35</v>
      </c>
      <c r="E935" s="5" t="s">
        <v>39</v>
      </c>
      <c r="F935" s="5" t="s">
        <v>162</v>
      </c>
      <c r="G935" s="5" t="s">
        <v>193</v>
      </c>
      <c r="H935" s="5" t="s">
        <v>196</v>
      </c>
      <c r="I935" s="5" t="s">
        <v>63</v>
      </c>
      <c r="J935" s="5">
        <v>16.675565909210999</v>
      </c>
      <c r="K935" s="5">
        <v>-94.775516653355993</v>
      </c>
      <c r="L935" s="5" t="str">
        <f>HYPERLINK("https://maps.google.com/?q=16.6755659092107,-94.775516653355595", "🔗 Ver Mapa")</f>
        <v>🔗 Ver Mapa</v>
      </c>
    </row>
    <row r="936" spans="1:12" ht="43.5" x14ac:dyDescent="0.35">
      <c r="A936" s="6" t="s">
        <v>8</v>
      </c>
      <c r="B936" s="6" t="s">
        <v>16</v>
      </c>
      <c r="C936" s="6" t="s">
        <v>195</v>
      </c>
      <c r="D936" s="6" t="s">
        <v>35</v>
      </c>
      <c r="E936" s="6" t="s">
        <v>39</v>
      </c>
      <c r="F936" s="6" t="s">
        <v>162</v>
      </c>
      <c r="G936" s="6" t="s">
        <v>193</v>
      </c>
      <c r="H936" s="6" t="s">
        <v>196</v>
      </c>
      <c r="I936" s="6" t="s">
        <v>63</v>
      </c>
      <c r="J936" s="6">
        <v>16.676074697650002</v>
      </c>
      <c r="K936" s="6">
        <v>-94.775564684979003</v>
      </c>
      <c r="L936" s="6" t="str">
        <f>HYPERLINK("https://maps.google.com/?q=16.6760746976495,-94.775564684978903", "🔗 Ver Mapa")</f>
        <v>🔗 Ver Mapa</v>
      </c>
    </row>
    <row r="937" spans="1:12" ht="43.5" x14ac:dyDescent="0.35">
      <c r="A937" s="5" t="s">
        <v>8</v>
      </c>
      <c r="B937" s="5" t="s">
        <v>16</v>
      </c>
      <c r="C937" s="5" t="s">
        <v>195</v>
      </c>
      <c r="D937" s="5" t="s">
        <v>35</v>
      </c>
      <c r="E937" s="5" t="s">
        <v>39</v>
      </c>
      <c r="F937" s="5" t="s">
        <v>162</v>
      </c>
      <c r="G937" s="5" t="s">
        <v>193</v>
      </c>
      <c r="H937" s="5" t="s">
        <v>196</v>
      </c>
      <c r="I937" s="5" t="s">
        <v>63</v>
      </c>
      <c r="J937" s="5">
        <v>16.676146015451</v>
      </c>
      <c r="K937" s="5">
        <v>-94.775081143259996</v>
      </c>
      <c r="L937" s="5" t="str">
        <f>HYPERLINK("https://maps.google.com/?q=16.6761460154509,-94.775081143260095", "🔗 Ver Mapa")</f>
        <v>🔗 Ver Mapa</v>
      </c>
    </row>
    <row r="938" spans="1:12" ht="43.5" x14ac:dyDescent="0.35">
      <c r="A938" s="6" t="s">
        <v>8</v>
      </c>
      <c r="B938" s="6" t="s">
        <v>16</v>
      </c>
      <c r="C938" s="6" t="s">
        <v>195</v>
      </c>
      <c r="D938" s="6" t="s">
        <v>35</v>
      </c>
      <c r="E938" s="6" t="s">
        <v>39</v>
      </c>
      <c r="F938" s="6" t="s">
        <v>162</v>
      </c>
      <c r="G938" s="6" t="s">
        <v>193</v>
      </c>
      <c r="H938" s="6" t="s">
        <v>196</v>
      </c>
      <c r="I938" s="6" t="s">
        <v>63</v>
      </c>
      <c r="J938" s="6">
        <v>16.67644895411</v>
      </c>
      <c r="K938" s="6">
        <v>-94.775065870787003</v>
      </c>
      <c r="L938" s="6" t="str">
        <f>HYPERLINK("https://maps.google.com/?q=16.6764489541097,-94.775065870787301", "🔗 Ver Mapa")</f>
        <v>🔗 Ver Mapa</v>
      </c>
    </row>
    <row r="939" spans="1:12" ht="43.5" x14ac:dyDescent="0.35">
      <c r="A939" s="5" t="s">
        <v>8</v>
      </c>
      <c r="B939" s="5" t="s">
        <v>16</v>
      </c>
      <c r="C939" s="5" t="s">
        <v>195</v>
      </c>
      <c r="D939" s="5" t="s">
        <v>35</v>
      </c>
      <c r="E939" s="5" t="s">
        <v>39</v>
      </c>
      <c r="F939" s="5" t="s">
        <v>162</v>
      </c>
      <c r="G939" s="5" t="s">
        <v>193</v>
      </c>
      <c r="H939" s="5" t="s">
        <v>196</v>
      </c>
      <c r="I939" s="5" t="s">
        <v>63</v>
      </c>
      <c r="J939" s="5">
        <v>16.676571192116</v>
      </c>
      <c r="K939" s="5">
        <v>-94.775121830977</v>
      </c>
      <c r="L939" s="5" t="str">
        <f>HYPERLINK("https://maps.google.com/?q=16.6765711921162,-94.7751218309769", "🔗 Ver Mapa")</f>
        <v>🔗 Ver Mapa</v>
      </c>
    </row>
    <row r="940" spans="1:12" ht="43.5" x14ac:dyDescent="0.35">
      <c r="A940" s="6" t="s">
        <v>8</v>
      </c>
      <c r="B940" s="6" t="s">
        <v>16</v>
      </c>
      <c r="C940" s="6" t="s">
        <v>195</v>
      </c>
      <c r="D940" s="6" t="s">
        <v>35</v>
      </c>
      <c r="E940" s="6" t="s">
        <v>39</v>
      </c>
      <c r="F940" s="6" t="s">
        <v>162</v>
      </c>
      <c r="G940" s="6" t="s">
        <v>193</v>
      </c>
      <c r="H940" s="6" t="s">
        <v>196</v>
      </c>
      <c r="I940" s="6" t="s">
        <v>63</v>
      </c>
      <c r="J940" s="6">
        <v>16.677424464325</v>
      </c>
      <c r="K940" s="6">
        <v>-94.774806107922998</v>
      </c>
      <c r="L940" s="6" t="str">
        <f>HYPERLINK("https://maps.google.com/?q=16.6774244643249,-94.774806107923396", "🔗 Ver Mapa")</f>
        <v>🔗 Ver Mapa</v>
      </c>
    </row>
    <row r="941" spans="1:12" ht="43.5" x14ac:dyDescent="0.35">
      <c r="A941" s="5" t="s">
        <v>8</v>
      </c>
      <c r="B941" s="5" t="s">
        <v>16</v>
      </c>
      <c r="C941" s="5" t="s">
        <v>195</v>
      </c>
      <c r="D941" s="5" t="s">
        <v>35</v>
      </c>
      <c r="E941" s="5" t="s">
        <v>39</v>
      </c>
      <c r="F941" s="5" t="s">
        <v>162</v>
      </c>
      <c r="G941" s="5" t="s">
        <v>193</v>
      </c>
      <c r="H941" s="5" t="s">
        <v>196</v>
      </c>
      <c r="I941" s="5" t="s">
        <v>63</v>
      </c>
      <c r="J941" s="5">
        <v>16.678149100176999</v>
      </c>
      <c r="K941" s="5">
        <v>-94.774807617628994</v>
      </c>
      <c r="L941" s="5" t="str">
        <f>HYPERLINK("https://maps.google.com/?q=16.6781491001771,-94.774807617629193", "🔗 Ver Mapa")</f>
        <v>🔗 Ver Mapa</v>
      </c>
    </row>
    <row r="942" spans="1:12" ht="43.5" x14ac:dyDescent="0.35">
      <c r="A942" s="6" t="s">
        <v>8</v>
      </c>
      <c r="B942" s="6" t="s">
        <v>16</v>
      </c>
      <c r="C942" s="6" t="s">
        <v>195</v>
      </c>
      <c r="D942" s="6" t="s">
        <v>35</v>
      </c>
      <c r="E942" s="6" t="s">
        <v>39</v>
      </c>
      <c r="F942" s="6" t="s">
        <v>162</v>
      </c>
      <c r="G942" s="6" t="s">
        <v>193</v>
      </c>
      <c r="H942" s="6" t="s">
        <v>196</v>
      </c>
      <c r="I942" s="6" t="s">
        <v>63</v>
      </c>
      <c r="J942" s="6">
        <v>16.678279538121</v>
      </c>
      <c r="K942" s="6">
        <v>-94.775124932541004</v>
      </c>
      <c r="L942" s="6" t="str">
        <f>HYPERLINK("https://maps.google.com/?q=16.6782795381209,-94.775124932540905", "🔗 Ver Mapa")</f>
        <v>🔗 Ver Mapa</v>
      </c>
    </row>
    <row r="943" spans="1:12" ht="43.5" x14ac:dyDescent="0.35">
      <c r="A943" s="5" t="s">
        <v>8</v>
      </c>
      <c r="B943" s="5" t="s">
        <v>16</v>
      </c>
      <c r="C943" s="5" t="s">
        <v>195</v>
      </c>
      <c r="D943" s="5" t="s">
        <v>35</v>
      </c>
      <c r="E943" s="5" t="s">
        <v>39</v>
      </c>
      <c r="F943" s="5" t="s">
        <v>162</v>
      </c>
      <c r="G943" s="5" t="s">
        <v>193</v>
      </c>
      <c r="H943" s="5" t="s">
        <v>196</v>
      </c>
      <c r="I943" s="5" t="s">
        <v>63</v>
      </c>
      <c r="J943" s="5">
        <v>16.678421975774999</v>
      </c>
      <c r="K943" s="5">
        <v>-94.774823695302999</v>
      </c>
      <c r="L943" s="5" t="str">
        <f>HYPERLINK("https://maps.google.com/?q=16.6784219757753,-94.774823695302501", "🔗 Ver Mapa")</f>
        <v>🔗 Ver Mapa</v>
      </c>
    </row>
    <row r="944" spans="1:12" ht="43.5" x14ac:dyDescent="0.35">
      <c r="A944" s="6" t="s">
        <v>8</v>
      </c>
      <c r="B944" s="6" t="s">
        <v>16</v>
      </c>
      <c r="C944" s="6" t="s">
        <v>195</v>
      </c>
      <c r="D944" s="6" t="s">
        <v>35</v>
      </c>
      <c r="E944" s="6" t="s">
        <v>39</v>
      </c>
      <c r="F944" s="6" t="s">
        <v>162</v>
      </c>
      <c r="G944" s="6" t="s">
        <v>193</v>
      </c>
      <c r="H944" s="6" t="s">
        <v>196</v>
      </c>
      <c r="I944" s="6" t="s">
        <v>63</v>
      </c>
      <c r="J944" s="6">
        <v>16.678741995248998</v>
      </c>
      <c r="K944" s="6">
        <v>-94.774378758853004</v>
      </c>
      <c r="L944" s="6" t="str">
        <f>HYPERLINK("https://maps.google.com/?q=16.678741995249,-94.774378758852805", "🔗 Ver Mapa")</f>
        <v>🔗 Ver Mapa</v>
      </c>
    </row>
    <row r="945" spans="1:12" ht="43.5" x14ac:dyDescent="0.35">
      <c r="A945" s="5" t="s">
        <v>8</v>
      </c>
      <c r="B945" s="5" t="s">
        <v>16</v>
      </c>
      <c r="C945" s="5" t="s">
        <v>195</v>
      </c>
      <c r="D945" s="5" t="s">
        <v>35</v>
      </c>
      <c r="E945" s="5" t="s">
        <v>39</v>
      </c>
      <c r="F945" s="5" t="s">
        <v>162</v>
      </c>
      <c r="G945" s="5" t="s">
        <v>193</v>
      </c>
      <c r="H945" s="5" t="s">
        <v>196</v>
      </c>
      <c r="I945" s="5" t="s">
        <v>63</v>
      </c>
      <c r="J945" s="5">
        <v>16.679110935903999</v>
      </c>
      <c r="K945" s="5">
        <v>-94.774056695344001</v>
      </c>
      <c r="L945" s="5" t="str">
        <f>HYPERLINK("https://maps.google.com/?q=16.6791109359044,-94.774056695343702", "🔗 Ver Mapa")</f>
        <v>🔗 Ver Mapa</v>
      </c>
    </row>
    <row r="946" spans="1:12" ht="43.5" x14ac:dyDescent="0.35">
      <c r="A946" s="6" t="s">
        <v>8</v>
      </c>
      <c r="B946" s="6" t="s">
        <v>16</v>
      </c>
      <c r="C946" s="6" t="s">
        <v>195</v>
      </c>
      <c r="D946" s="6" t="s">
        <v>35</v>
      </c>
      <c r="E946" s="6" t="s">
        <v>39</v>
      </c>
      <c r="F946" s="6" t="s">
        <v>162</v>
      </c>
      <c r="G946" s="6" t="s">
        <v>193</v>
      </c>
      <c r="H946" s="6" t="s">
        <v>196</v>
      </c>
      <c r="I946" s="6" t="s">
        <v>63</v>
      </c>
      <c r="J946" s="6">
        <v>16.679206046598001</v>
      </c>
      <c r="K946" s="6">
        <v>-94.773775049486005</v>
      </c>
      <c r="L946" s="6" t="str">
        <f>HYPERLINK("https://maps.google.com/?q=16.6792060465979,-94.773775049486403", "🔗 Ver Mapa")</f>
        <v>🔗 Ver Mapa</v>
      </c>
    </row>
    <row r="947" spans="1:12" ht="43.5" x14ac:dyDescent="0.35">
      <c r="A947" s="5" t="s">
        <v>8</v>
      </c>
      <c r="B947" s="5" t="s">
        <v>16</v>
      </c>
      <c r="C947" s="5" t="s">
        <v>195</v>
      </c>
      <c r="D947" s="5" t="s">
        <v>35</v>
      </c>
      <c r="E947" s="5" t="s">
        <v>39</v>
      </c>
      <c r="F947" s="5" t="s">
        <v>162</v>
      </c>
      <c r="G947" s="5" t="s">
        <v>193</v>
      </c>
      <c r="H947" s="5" t="s">
        <v>196</v>
      </c>
      <c r="I947" s="5" t="s">
        <v>63</v>
      </c>
      <c r="J947" s="5">
        <v>16.679487765598001</v>
      </c>
      <c r="K947" s="5">
        <v>-94.773210947809005</v>
      </c>
      <c r="L947" s="5" t="str">
        <f>HYPERLINK("https://maps.google.com/?q=16.679487765598,-94.773210947809005", "🔗 Ver Mapa")</f>
        <v>🔗 Ver Mapa</v>
      </c>
    </row>
    <row r="948" spans="1:12" ht="43.5" x14ac:dyDescent="0.35">
      <c r="A948" s="6" t="s">
        <v>8</v>
      </c>
      <c r="B948" s="6" t="s">
        <v>16</v>
      </c>
      <c r="C948" s="6" t="s">
        <v>195</v>
      </c>
      <c r="D948" s="6" t="s">
        <v>35</v>
      </c>
      <c r="E948" s="6" t="s">
        <v>39</v>
      </c>
      <c r="F948" s="6" t="s">
        <v>162</v>
      </c>
      <c r="G948" s="6" t="s">
        <v>193</v>
      </c>
      <c r="H948" s="6" t="s">
        <v>196</v>
      </c>
      <c r="I948" s="6" t="s">
        <v>63</v>
      </c>
      <c r="J948" s="6">
        <v>16.679805221574</v>
      </c>
      <c r="K948" s="6">
        <v>-94.773920577298</v>
      </c>
      <c r="L948" s="6" t="str">
        <f>HYPERLINK("https://maps.google.com/?q=16.6798052215737,-94.773920577298099", "🔗 Ver Mapa")</f>
        <v>🔗 Ver Mapa</v>
      </c>
    </row>
    <row r="949" spans="1:12" ht="43.5" x14ac:dyDescent="0.35">
      <c r="A949" s="5" t="s">
        <v>8</v>
      </c>
      <c r="B949" s="5" t="s">
        <v>16</v>
      </c>
      <c r="C949" s="5" t="s">
        <v>195</v>
      </c>
      <c r="D949" s="5" t="s">
        <v>35</v>
      </c>
      <c r="E949" s="5" t="s">
        <v>39</v>
      </c>
      <c r="F949" s="5" t="s">
        <v>162</v>
      </c>
      <c r="G949" s="5" t="s">
        <v>193</v>
      </c>
      <c r="H949" s="5" t="s">
        <v>196</v>
      </c>
      <c r="I949" s="5" t="s">
        <v>63</v>
      </c>
      <c r="J949" s="5">
        <v>16.679950999999999</v>
      </c>
      <c r="K949" s="5">
        <v>-94.775559000000001</v>
      </c>
      <c r="L949" s="5" t="str">
        <f>HYPERLINK("https://maps.google.com/?q=16.679951,-94.775559000000001", "🔗 Ver Mapa")</f>
        <v>🔗 Ver Mapa</v>
      </c>
    </row>
    <row r="950" spans="1:12" ht="43.5" x14ac:dyDescent="0.35">
      <c r="A950" s="6" t="s">
        <v>8</v>
      </c>
      <c r="B950" s="6" t="s">
        <v>16</v>
      </c>
      <c r="C950" s="6" t="s">
        <v>195</v>
      </c>
      <c r="D950" s="6" t="s">
        <v>35</v>
      </c>
      <c r="E950" s="6" t="s">
        <v>39</v>
      </c>
      <c r="F950" s="6" t="s">
        <v>162</v>
      </c>
      <c r="G950" s="6" t="s">
        <v>193</v>
      </c>
      <c r="H950" s="6" t="s">
        <v>196</v>
      </c>
      <c r="I950" s="6" t="s">
        <v>63</v>
      </c>
      <c r="J950" s="6">
        <v>16.679983309343999</v>
      </c>
      <c r="K950" s="6">
        <v>-94.774658798776997</v>
      </c>
      <c r="L950" s="6" t="str">
        <f>HYPERLINK("https://maps.google.com/?q=16.6799833093441,-94.774658798776699", "🔗 Ver Mapa")</f>
        <v>🔗 Ver Mapa</v>
      </c>
    </row>
    <row r="951" spans="1:12" ht="43.5" x14ac:dyDescent="0.35">
      <c r="A951" s="5" t="s">
        <v>8</v>
      </c>
      <c r="B951" s="5" t="s">
        <v>16</v>
      </c>
      <c r="C951" s="5" t="s">
        <v>195</v>
      </c>
      <c r="D951" s="5" t="s">
        <v>35</v>
      </c>
      <c r="E951" s="5" t="s">
        <v>39</v>
      </c>
      <c r="F951" s="5" t="s">
        <v>162</v>
      </c>
      <c r="G951" s="5" t="s">
        <v>193</v>
      </c>
      <c r="H951" s="5" t="s">
        <v>196</v>
      </c>
      <c r="I951" s="5" t="s">
        <v>63</v>
      </c>
      <c r="J951" s="5">
        <v>16.680195058355</v>
      </c>
      <c r="K951" s="5">
        <v>-94.771704500363001</v>
      </c>
      <c r="L951" s="5" t="str">
        <f>HYPERLINK("https://maps.google.com/?q=16.6801950583553,-94.771704500362901", "🔗 Ver Mapa")</f>
        <v>🔗 Ver Mapa</v>
      </c>
    </row>
    <row r="952" spans="1:12" ht="43.5" x14ac:dyDescent="0.35">
      <c r="A952" s="6" t="s">
        <v>8</v>
      </c>
      <c r="B952" s="6" t="s">
        <v>16</v>
      </c>
      <c r="C952" s="6" t="s">
        <v>195</v>
      </c>
      <c r="D952" s="6" t="s">
        <v>35</v>
      </c>
      <c r="E952" s="6" t="s">
        <v>39</v>
      </c>
      <c r="F952" s="6" t="s">
        <v>162</v>
      </c>
      <c r="G952" s="6" t="s">
        <v>193</v>
      </c>
      <c r="H952" s="6" t="s">
        <v>196</v>
      </c>
      <c r="I952" s="6" t="s">
        <v>63</v>
      </c>
      <c r="J952" s="6">
        <v>16.680449571975998</v>
      </c>
      <c r="K952" s="6">
        <v>-94.771797466270002</v>
      </c>
      <c r="L952" s="6" t="str">
        <f>HYPERLINK("https://maps.google.com/?q=16.6804495719763,-94.771797466270399", "🔗 Ver Mapa")</f>
        <v>🔗 Ver Mapa</v>
      </c>
    </row>
    <row r="953" spans="1:12" ht="43.5" x14ac:dyDescent="0.35">
      <c r="A953" s="5" t="s">
        <v>8</v>
      </c>
      <c r="B953" s="5" t="s">
        <v>16</v>
      </c>
      <c r="C953" s="5" t="s">
        <v>195</v>
      </c>
      <c r="D953" s="5" t="s">
        <v>35</v>
      </c>
      <c r="E953" s="5" t="s">
        <v>39</v>
      </c>
      <c r="F953" s="5" t="s">
        <v>162</v>
      </c>
      <c r="G953" s="5" t="s">
        <v>193</v>
      </c>
      <c r="H953" s="5" t="s">
        <v>196</v>
      </c>
      <c r="I953" s="5" t="s">
        <v>63</v>
      </c>
      <c r="J953" s="5">
        <v>16.680605016026</v>
      </c>
      <c r="K953" s="5">
        <v>-94.773392256449</v>
      </c>
      <c r="L953" s="5" t="str">
        <f>HYPERLINK("https://maps.google.com/?q=16.6806050160257,-94.773392256448702", "🔗 Ver Mapa")</f>
        <v>🔗 Ver Mapa</v>
      </c>
    </row>
    <row r="954" spans="1:12" ht="43.5" x14ac:dyDescent="0.35">
      <c r="A954" s="6" t="s">
        <v>8</v>
      </c>
      <c r="B954" s="6" t="s">
        <v>16</v>
      </c>
      <c r="C954" s="6" t="s">
        <v>195</v>
      </c>
      <c r="D954" s="6" t="s">
        <v>35</v>
      </c>
      <c r="E954" s="6" t="s">
        <v>39</v>
      </c>
      <c r="F954" s="6" t="s">
        <v>162</v>
      </c>
      <c r="G954" s="6" t="s">
        <v>193</v>
      </c>
      <c r="H954" s="6" t="s">
        <v>196</v>
      </c>
      <c r="I954" s="6" t="s">
        <v>63</v>
      </c>
      <c r="J954" s="6">
        <v>16.681189462281999</v>
      </c>
      <c r="K954" s="6">
        <v>-94.771411454613997</v>
      </c>
      <c r="L954" s="6" t="str">
        <f>HYPERLINK("https://maps.google.com/?q=16.6811894622822,-94.771411454613798", "🔗 Ver Mapa")</f>
        <v>🔗 Ver Mapa</v>
      </c>
    </row>
    <row r="955" spans="1:12" ht="58" x14ac:dyDescent="0.35">
      <c r="A955" s="5" t="s">
        <v>154</v>
      </c>
      <c r="B955" s="5" t="s">
        <v>155</v>
      </c>
      <c r="C955" s="5" t="s">
        <v>197</v>
      </c>
      <c r="D955" s="5" t="s">
        <v>157</v>
      </c>
      <c r="E955" s="5" t="s">
        <v>39</v>
      </c>
      <c r="F955" s="5" t="s">
        <v>162</v>
      </c>
      <c r="G955" s="5" t="s">
        <v>193</v>
      </c>
      <c r="H955" s="5" t="s">
        <v>194</v>
      </c>
      <c r="I955" s="5" t="s">
        <v>63</v>
      </c>
      <c r="J955" s="5">
        <v>16.630331000000002</v>
      </c>
      <c r="K955" s="5">
        <v>-94.809375000000003</v>
      </c>
      <c r="L955" s="5" t="str">
        <f>HYPERLINK("https://maps.google.com/?q=16.630331,-94.809375", "🔗 Ver Mapa")</f>
        <v>🔗 Ver Mapa</v>
      </c>
    </row>
    <row r="956" spans="1:12" ht="58" x14ac:dyDescent="0.35">
      <c r="A956" s="6" t="s">
        <v>154</v>
      </c>
      <c r="B956" s="6" t="s">
        <v>155</v>
      </c>
      <c r="C956" s="6" t="s">
        <v>197</v>
      </c>
      <c r="D956" s="6" t="s">
        <v>157</v>
      </c>
      <c r="E956" s="6" t="s">
        <v>39</v>
      </c>
      <c r="F956" s="6" t="s">
        <v>162</v>
      </c>
      <c r="G956" s="6" t="s">
        <v>193</v>
      </c>
      <c r="H956" s="6" t="s">
        <v>194</v>
      </c>
      <c r="I956" s="6" t="s">
        <v>63</v>
      </c>
      <c r="J956" s="6">
        <v>16.648620000000001</v>
      </c>
      <c r="K956" s="6">
        <v>-94.787181000000004</v>
      </c>
      <c r="L956" s="6" t="str">
        <f>HYPERLINK("https://maps.google.com/?q=16.64862,-94.787181", "🔗 Ver Mapa")</f>
        <v>🔗 Ver Mapa</v>
      </c>
    </row>
    <row r="957" spans="1:12" ht="58" x14ac:dyDescent="0.35">
      <c r="A957" s="5" t="s">
        <v>154</v>
      </c>
      <c r="B957" s="5" t="s">
        <v>155</v>
      </c>
      <c r="C957" s="5" t="s">
        <v>197</v>
      </c>
      <c r="D957" s="5" t="s">
        <v>157</v>
      </c>
      <c r="E957" s="5" t="s">
        <v>39</v>
      </c>
      <c r="F957" s="5" t="s">
        <v>162</v>
      </c>
      <c r="G957" s="5" t="s">
        <v>193</v>
      </c>
      <c r="H957" s="5" t="s">
        <v>194</v>
      </c>
      <c r="I957" s="5" t="s">
        <v>63</v>
      </c>
      <c r="J957" s="5">
        <v>16.666131</v>
      </c>
      <c r="K957" s="5" t="s">
        <v>198</v>
      </c>
      <c r="L957" s="5" t="str">
        <f>HYPERLINK("https://maps.google.com/?q=16.666131,	-94.784557", "🔗 Ver Mapa")</f>
        <v>🔗 Ver Mapa</v>
      </c>
    </row>
    <row r="958" spans="1:12" ht="58" x14ac:dyDescent="0.35">
      <c r="A958" s="6" t="s">
        <v>154</v>
      </c>
      <c r="B958" s="6" t="s">
        <v>155</v>
      </c>
      <c r="C958" s="6" t="s">
        <v>197</v>
      </c>
      <c r="D958" s="6" t="s">
        <v>157</v>
      </c>
      <c r="E958" s="6" t="s">
        <v>39</v>
      </c>
      <c r="F958" s="6" t="s">
        <v>162</v>
      </c>
      <c r="G958" s="6" t="s">
        <v>193</v>
      </c>
      <c r="H958" s="6" t="s">
        <v>194</v>
      </c>
      <c r="I958" s="6" t="s">
        <v>63</v>
      </c>
      <c r="J958" s="6">
        <v>16.704936</v>
      </c>
      <c r="K958" s="6">
        <v>-94.769422000000006</v>
      </c>
      <c r="L958" s="6" t="str">
        <f>HYPERLINK("https://maps.google.com/?q=16.704936,-94.769422", "🔗 Ver Mapa")</f>
        <v>🔗 Ver Mapa</v>
      </c>
    </row>
    <row r="959" spans="1:12" ht="58" x14ac:dyDescent="0.35">
      <c r="A959" s="5" t="s">
        <v>154</v>
      </c>
      <c r="B959" s="5" t="s">
        <v>155</v>
      </c>
      <c r="C959" s="5" t="s">
        <v>197</v>
      </c>
      <c r="D959" s="5" t="s">
        <v>157</v>
      </c>
      <c r="E959" s="5" t="s">
        <v>39</v>
      </c>
      <c r="F959" s="5" t="s">
        <v>162</v>
      </c>
      <c r="G959" s="5" t="s">
        <v>193</v>
      </c>
      <c r="H959" s="5" t="s">
        <v>194</v>
      </c>
      <c r="I959" s="5" t="s">
        <v>63</v>
      </c>
      <c r="J959" s="5">
        <v>16.714896</v>
      </c>
      <c r="K959" s="5">
        <v>-94.751047</v>
      </c>
      <c r="L959" s="5" t="str">
        <f>HYPERLINK("https://maps.google.com/?q=16.714896,-94.751047", "🔗 Ver Mapa")</f>
        <v>🔗 Ver Mapa</v>
      </c>
    </row>
    <row r="960" spans="1:12" ht="58" x14ac:dyDescent="0.35">
      <c r="A960" s="6" t="s">
        <v>199</v>
      </c>
      <c r="B960" s="6" t="s">
        <v>200</v>
      </c>
      <c r="C960" s="6" t="s">
        <v>201</v>
      </c>
      <c r="D960" s="6" t="s">
        <v>202</v>
      </c>
      <c r="E960" s="6" t="s">
        <v>128</v>
      </c>
      <c r="F960" s="6" t="s">
        <v>203</v>
      </c>
      <c r="G960" s="6" t="s">
        <v>204</v>
      </c>
      <c r="H960" s="6" t="s">
        <v>205</v>
      </c>
      <c r="I960" s="6" t="s">
        <v>63</v>
      </c>
      <c r="J960" s="6">
        <v>17.830112</v>
      </c>
      <c r="K960" s="6">
        <v>-98.006435999999994</v>
      </c>
      <c r="L960" s="6" t="str">
        <f>HYPERLINK("https://maps.google.com/?q=17.830112,-98.006436", "🔗 Ver Mapa")</f>
        <v>🔗 Ver Mapa</v>
      </c>
    </row>
    <row r="961" spans="1:12" ht="43.5" x14ac:dyDescent="0.35">
      <c r="A961" s="5" t="s">
        <v>206</v>
      </c>
      <c r="B961" s="5" t="s">
        <v>207</v>
      </c>
      <c r="C961" s="5" t="s">
        <v>208</v>
      </c>
      <c r="D961" s="5" t="s">
        <v>34</v>
      </c>
      <c r="E961" s="5" t="s">
        <v>209</v>
      </c>
      <c r="F961" s="5" t="s">
        <v>210</v>
      </c>
      <c r="G961" s="5" t="s">
        <v>211</v>
      </c>
      <c r="H961" s="5" t="s">
        <v>212</v>
      </c>
      <c r="I961" s="5" t="s">
        <v>213</v>
      </c>
      <c r="J961" s="5">
        <v>17.377945</v>
      </c>
      <c r="K961" s="5">
        <v>-96.160129999999995</v>
      </c>
      <c r="L961" s="5" t="str">
        <f>HYPERLINK("https://maps.google.com/?q=17.377945,-96.160129999999995", "🔗 Ver Mapa")</f>
        <v>🔗 Ver Mapa</v>
      </c>
    </row>
    <row r="962" spans="1:12" ht="43.5" x14ac:dyDescent="0.35">
      <c r="A962" s="6" t="s">
        <v>206</v>
      </c>
      <c r="B962" s="6" t="s">
        <v>207</v>
      </c>
      <c r="C962" s="6" t="s">
        <v>208</v>
      </c>
      <c r="D962" s="6" t="s">
        <v>34</v>
      </c>
      <c r="E962" s="6" t="s">
        <v>209</v>
      </c>
      <c r="F962" s="6" t="s">
        <v>210</v>
      </c>
      <c r="G962" s="6" t="s">
        <v>211</v>
      </c>
      <c r="H962" s="6" t="s">
        <v>212</v>
      </c>
      <c r="I962" s="6" t="s">
        <v>213</v>
      </c>
      <c r="J962" s="6">
        <v>17.378343999999998</v>
      </c>
      <c r="K962" s="6">
        <v>-96.158668000000006</v>
      </c>
      <c r="L962" s="6" t="str">
        <f>HYPERLINK("https://maps.google.com/?q=17.378344,-96.158668000000006", "🔗 Ver Mapa")</f>
        <v>🔗 Ver Mapa</v>
      </c>
    </row>
    <row r="963" spans="1:12" ht="43.5" x14ac:dyDescent="0.35">
      <c r="A963" s="5" t="s">
        <v>206</v>
      </c>
      <c r="B963" s="5" t="s">
        <v>207</v>
      </c>
      <c r="C963" s="5" t="s">
        <v>208</v>
      </c>
      <c r="D963" s="5" t="s">
        <v>34</v>
      </c>
      <c r="E963" s="5" t="s">
        <v>209</v>
      </c>
      <c r="F963" s="5" t="s">
        <v>210</v>
      </c>
      <c r="G963" s="5" t="s">
        <v>211</v>
      </c>
      <c r="H963" s="5" t="s">
        <v>212</v>
      </c>
      <c r="I963" s="5" t="s">
        <v>213</v>
      </c>
      <c r="J963" s="5">
        <v>17.378485000000001</v>
      </c>
      <c r="K963" s="5">
        <v>-96.160409999999999</v>
      </c>
      <c r="L963" s="5" t="str">
        <f>HYPERLINK("https://maps.google.com/?q=17.378485,-96.160409999999999", "🔗 Ver Mapa")</f>
        <v>🔗 Ver Mapa</v>
      </c>
    </row>
    <row r="964" spans="1:12" ht="43.5" x14ac:dyDescent="0.35">
      <c r="A964" s="6" t="s">
        <v>206</v>
      </c>
      <c r="B964" s="6" t="s">
        <v>207</v>
      </c>
      <c r="C964" s="6" t="s">
        <v>208</v>
      </c>
      <c r="D964" s="6" t="s">
        <v>34</v>
      </c>
      <c r="E964" s="6" t="s">
        <v>209</v>
      </c>
      <c r="F964" s="6" t="s">
        <v>210</v>
      </c>
      <c r="G964" s="6" t="s">
        <v>211</v>
      </c>
      <c r="H964" s="6" t="s">
        <v>212</v>
      </c>
      <c r="I964" s="6" t="s">
        <v>213</v>
      </c>
      <c r="J964" s="6">
        <v>17.378702000000001</v>
      </c>
      <c r="K964" s="6">
        <v>-96.160452000000006</v>
      </c>
      <c r="L964" s="6" t="str">
        <f>HYPERLINK("https://maps.google.com/?q=17.378702,-96.160452000000006", "🔗 Ver Mapa")</f>
        <v>🔗 Ver Mapa</v>
      </c>
    </row>
    <row r="965" spans="1:12" ht="43.5" x14ac:dyDescent="0.35">
      <c r="A965" s="5" t="s">
        <v>206</v>
      </c>
      <c r="B965" s="5" t="s">
        <v>207</v>
      </c>
      <c r="C965" s="5" t="s">
        <v>208</v>
      </c>
      <c r="D965" s="5" t="s">
        <v>34</v>
      </c>
      <c r="E965" s="5" t="s">
        <v>209</v>
      </c>
      <c r="F965" s="5" t="s">
        <v>210</v>
      </c>
      <c r="G965" s="5" t="s">
        <v>211</v>
      </c>
      <c r="H965" s="5" t="s">
        <v>212</v>
      </c>
      <c r="I965" s="5" t="s">
        <v>213</v>
      </c>
      <c r="J965" s="5">
        <v>17.378805</v>
      </c>
      <c r="K965" s="5">
        <v>-96.160418000000007</v>
      </c>
      <c r="L965" s="5" t="str">
        <f>HYPERLINK("https://maps.google.com/?q=17.378805,-96.160418000000007", "🔗 Ver Mapa")</f>
        <v>🔗 Ver Mapa</v>
      </c>
    </row>
    <row r="966" spans="1:12" ht="43.5" x14ac:dyDescent="0.35">
      <c r="A966" s="6" t="s">
        <v>206</v>
      </c>
      <c r="B966" s="6" t="s">
        <v>207</v>
      </c>
      <c r="C966" s="6" t="s">
        <v>208</v>
      </c>
      <c r="D966" s="6" t="s">
        <v>34</v>
      </c>
      <c r="E966" s="6" t="s">
        <v>209</v>
      </c>
      <c r="F966" s="6" t="s">
        <v>210</v>
      </c>
      <c r="G966" s="6" t="s">
        <v>211</v>
      </c>
      <c r="H966" s="6" t="s">
        <v>212</v>
      </c>
      <c r="I966" s="6" t="s">
        <v>213</v>
      </c>
      <c r="J966" s="6">
        <v>17.378838999999999</v>
      </c>
      <c r="K966" s="6">
        <v>-96.158972000000006</v>
      </c>
      <c r="L966" s="6" t="str">
        <f>HYPERLINK("https://maps.google.com/?q=17.378839,-96.158972000000006", "🔗 Ver Mapa")</f>
        <v>🔗 Ver Mapa</v>
      </c>
    </row>
    <row r="967" spans="1:12" ht="43.5" x14ac:dyDescent="0.35">
      <c r="A967" s="5" t="s">
        <v>206</v>
      </c>
      <c r="B967" s="5" t="s">
        <v>207</v>
      </c>
      <c r="C967" s="5" t="s">
        <v>208</v>
      </c>
      <c r="D967" s="5" t="s">
        <v>34</v>
      </c>
      <c r="E967" s="5" t="s">
        <v>209</v>
      </c>
      <c r="F967" s="5" t="s">
        <v>210</v>
      </c>
      <c r="G967" s="5" t="s">
        <v>211</v>
      </c>
      <c r="H967" s="5" t="s">
        <v>212</v>
      </c>
      <c r="I967" s="5" t="s">
        <v>213</v>
      </c>
      <c r="J967" s="5">
        <v>17.378969000000001</v>
      </c>
      <c r="K967" s="5">
        <v>-96.160087000000004</v>
      </c>
      <c r="L967" s="5" t="str">
        <f>HYPERLINK("https://maps.google.com/?q=17.378969,-96.160087000000004", "🔗 Ver Mapa")</f>
        <v>🔗 Ver Mapa</v>
      </c>
    </row>
    <row r="968" spans="1:12" ht="43.5" x14ac:dyDescent="0.35">
      <c r="A968" s="6" t="s">
        <v>206</v>
      </c>
      <c r="B968" s="6" t="s">
        <v>207</v>
      </c>
      <c r="C968" s="6" t="s">
        <v>208</v>
      </c>
      <c r="D968" s="6" t="s">
        <v>34</v>
      </c>
      <c r="E968" s="6" t="s">
        <v>209</v>
      </c>
      <c r="F968" s="6" t="s">
        <v>210</v>
      </c>
      <c r="G968" s="6" t="s">
        <v>211</v>
      </c>
      <c r="H968" s="6" t="s">
        <v>212</v>
      </c>
      <c r="I968" s="6" t="s">
        <v>213</v>
      </c>
      <c r="J968" s="6">
        <v>17.379068</v>
      </c>
      <c r="K968" s="6">
        <v>-96.160003000000003</v>
      </c>
      <c r="L968" s="6" t="str">
        <f>HYPERLINK("https://maps.google.com/?q=17.379068,-96.160003000000003", "🔗 Ver Mapa")</f>
        <v>🔗 Ver Mapa</v>
      </c>
    </row>
    <row r="969" spans="1:12" ht="43.5" x14ac:dyDescent="0.35">
      <c r="A969" s="5" t="s">
        <v>206</v>
      </c>
      <c r="B969" s="5" t="s">
        <v>207</v>
      </c>
      <c r="C969" s="5" t="s">
        <v>208</v>
      </c>
      <c r="D969" s="5" t="s">
        <v>34</v>
      </c>
      <c r="E969" s="5" t="s">
        <v>209</v>
      </c>
      <c r="F969" s="5" t="s">
        <v>210</v>
      </c>
      <c r="G969" s="5" t="s">
        <v>211</v>
      </c>
      <c r="H969" s="5" t="s">
        <v>212</v>
      </c>
      <c r="I969" s="5" t="s">
        <v>213</v>
      </c>
      <c r="J969" s="5">
        <v>17.379099</v>
      </c>
      <c r="K969" s="5">
        <v>-96.159313999999995</v>
      </c>
      <c r="L969" s="5" t="str">
        <f>HYPERLINK("https://maps.google.com/?q=17.379099,-96.159313999999995", "🔗 Ver Mapa")</f>
        <v>🔗 Ver Mapa</v>
      </c>
    </row>
    <row r="970" spans="1:12" ht="43.5" x14ac:dyDescent="0.35">
      <c r="A970" s="6" t="s">
        <v>206</v>
      </c>
      <c r="B970" s="6" t="s">
        <v>207</v>
      </c>
      <c r="C970" s="6" t="s">
        <v>208</v>
      </c>
      <c r="D970" s="6" t="s">
        <v>34</v>
      </c>
      <c r="E970" s="6" t="s">
        <v>209</v>
      </c>
      <c r="F970" s="6" t="s">
        <v>210</v>
      </c>
      <c r="G970" s="6" t="s">
        <v>211</v>
      </c>
      <c r="H970" s="6" t="s">
        <v>212</v>
      </c>
      <c r="I970" s="6" t="s">
        <v>213</v>
      </c>
      <c r="J970" s="6">
        <v>17.379109</v>
      </c>
      <c r="K970" s="6">
        <v>-96.161846999999995</v>
      </c>
      <c r="L970" s="6" t="str">
        <f>HYPERLINK("https://maps.google.com/?q=17.379109,-96.161846999999995", "🔗 Ver Mapa")</f>
        <v>🔗 Ver Mapa</v>
      </c>
    </row>
    <row r="971" spans="1:12" ht="43.5" x14ac:dyDescent="0.35">
      <c r="A971" s="5" t="s">
        <v>206</v>
      </c>
      <c r="B971" s="5" t="s">
        <v>207</v>
      </c>
      <c r="C971" s="5" t="s">
        <v>208</v>
      </c>
      <c r="D971" s="5" t="s">
        <v>34</v>
      </c>
      <c r="E971" s="5" t="s">
        <v>209</v>
      </c>
      <c r="F971" s="5" t="s">
        <v>210</v>
      </c>
      <c r="G971" s="5" t="s">
        <v>211</v>
      </c>
      <c r="H971" s="5" t="s">
        <v>212</v>
      </c>
      <c r="I971" s="5" t="s">
        <v>213</v>
      </c>
      <c r="J971" s="5">
        <v>17.379172000000001</v>
      </c>
      <c r="K971" s="5">
        <v>-96.160089999999997</v>
      </c>
      <c r="L971" s="5" t="str">
        <f>HYPERLINK("https://maps.google.com/?q=17.379172,-96.160089999999997", "🔗 Ver Mapa")</f>
        <v>🔗 Ver Mapa</v>
      </c>
    </row>
    <row r="972" spans="1:12" ht="43.5" x14ac:dyDescent="0.35">
      <c r="A972" s="6" t="s">
        <v>206</v>
      </c>
      <c r="B972" s="6" t="s">
        <v>207</v>
      </c>
      <c r="C972" s="6" t="s">
        <v>208</v>
      </c>
      <c r="D972" s="6" t="s">
        <v>34</v>
      </c>
      <c r="E972" s="6" t="s">
        <v>209</v>
      </c>
      <c r="F972" s="6" t="s">
        <v>210</v>
      </c>
      <c r="G972" s="6" t="s">
        <v>211</v>
      </c>
      <c r="H972" s="6" t="s">
        <v>212</v>
      </c>
      <c r="I972" s="6" t="s">
        <v>213</v>
      </c>
      <c r="J972" s="6">
        <v>17.379252999999999</v>
      </c>
      <c r="K972" s="6">
        <v>-96.161795999999995</v>
      </c>
      <c r="L972" s="6" t="str">
        <f>HYPERLINK("https://maps.google.com/?q=17.379253,-96.161795999999995", "🔗 Ver Mapa")</f>
        <v>🔗 Ver Mapa</v>
      </c>
    </row>
    <row r="973" spans="1:12" ht="43.5" x14ac:dyDescent="0.35">
      <c r="A973" s="5" t="s">
        <v>206</v>
      </c>
      <c r="B973" s="5" t="s">
        <v>207</v>
      </c>
      <c r="C973" s="5" t="s">
        <v>208</v>
      </c>
      <c r="D973" s="5" t="s">
        <v>34</v>
      </c>
      <c r="E973" s="5" t="s">
        <v>209</v>
      </c>
      <c r="F973" s="5" t="s">
        <v>210</v>
      </c>
      <c r="G973" s="5" t="s">
        <v>211</v>
      </c>
      <c r="H973" s="5" t="s">
        <v>212</v>
      </c>
      <c r="I973" s="5" t="s">
        <v>213</v>
      </c>
      <c r="J973" s="5">
        <v>17.379296</v>
      </c>
      <c r="K973" s="5">
        <v>-96.159407999999999</v>
      </c>
      <c r="L973" s="5" t="str">
        <f>HYPERLINK("https://maps.google.com/?q=17.379296,-96.159407999999999", "🔗 Ver Mapa")</f>
        <v>🔗 Ver Mapa</v>
      </c>
    </row>
    <row r="974" spans="1:12" ht="43.5" x14ac:dyDescent="0.35">
      <c r="A974" s="6" t="s">
        <v>206</v>
      </c>
      <c r="B974" s="6" t="s">
        <v>207</v>
      </c>
      <c r="C974" s="6" t="s">
        <v>208</v>
      </c>
      <c r="D974" s="6" t="s">
        <v>34</v>
      </c>
      <c r="E974" s="6" t="s">
        <v>209</v>
      </c>
      <c r="F974" s="6" t="s">
        <v>210</v>
      </c>
      <c r="G974" s="6" t="s">
        <v>211</v>
      </c>
      <c r="H974" s="6" t="s">
        <v>212</v>
      </c>
      <c r="I974" s="6" t="s">
        <v>213</v>
      </c>
      <c r="J974" s="6">
        <v>17.37933</v>
      </c>
      <c r="K974" s="6">
        <v>-96.160353000000001</v>
      </c>
      <c r="L974" s="6" t="str">
        <f>HYPERLINK("https://maps.google.com/?q=17.37933,-96.160353000000001", "🔗 Ver Mapa")</f>
        <v>🔗 Ver Mapa</v>
      </c>
    </row>
    <row r="975" spans="1:12" ht="43.5" x14ac:dyDescent="0.35">
      <c r="A975" s="5" t="s">
        <v>206</v>
      </c>
      <c r="B975" s="5" t="s">
        <v>207</v>
      </c>
      <c r="C975" s="5" t="s">
        <v>208</v>
      </c>
      <c r="D975" s="5" t="s">
        <v>34</v>
      </c>
      <c r="E975" s="5" t="s">
        <v>209</v>
      </c>
      <c r="F975" s="5" t="s">
        <v>210</v>
      </c>
      <c r="G975" s="5" t="s">
        <v>211</v>
      </c>
      <c r="H975" s="5" t="s">
        <v>212</v>
      </c>
      <c r="I975" s="5" t="s">
        <v>213</v>
      </c>
      <c r="J975" s="5">
        <v>17.379418999999999</v>
      </c>
      <c r="K975" s="5">
        <v>-96.161631999999997</v>
      </c>
      <c r="L975" s="5" t="str">
        <f>HYPERLINK("https://maps.google.com/?q=17.379419,-96.161631999999997", "🔗 Ver Mapa")</f>
        <v>🔗 Ver Mapa</v>
      </c>
    </row>
    <row r="976" spans="1:12" ht="43.5" x14ac:dyDescent="0.35">
      <c r="A976" s="6" t="s">
        <v>206</v>
      </c>
      <c r="B976" s="6" t="s">
        <v>207</v>
      </c>
      <c r="C976" s="6" t="s">
        <v>208</v>
      </c>
      <c r="D976" s="6" t="s">
        <v>34</v>
      </c>
      <c r="E976" s="6" t="s">
        <v>209</v>
      </c>
      <c r="F976" s="6" t="s">
        <v>210</v>
      </c>
      <c r="G976" s="6" t="s">
        <v>211</v>
      </c>
      <c r="H976" s="6" t="s">
        <v>212</v>
      </c>
      <c r="I976" s="6" t="s">
        <v>213</v>
      </c>
      <c r="J976" s="6">
        <v>17.379453999999999</v>
      </c>
      <c r="K976" s="6">
        <v>-96.160495999999995</v>
      </c>
      <c r="L976" s="6" t="str">
        <f>HYPERLINK("https://maps.google.com/?q=17.379454,-96.160495999999995", "🔗 Ver Mapa")</f>
        <v>🔗 Ver Mapa</v>
      </c>
    </row>
    <row r="977" spans="1:12" ht="43.5" x14ac:dyDescent="0.35">
      <c r="A977" s="5" t="s">
        <v>206</v>
      </c>
      <c r="B977" s="5" t="s">
        <v>207</v>
      </c>
      <c r="C977" s="5" t="s">
        <v>208</v>
      </c>
      <c r="D977" s="5" t="s">
        <v>34</v>
      </c>
      <c r="E977" s="5" t="s">
        <v>209</v>
      </c>
      <c r="F977" s="5" t="s">
        <v>210</v>
      </c>
      <c r="G977" s="5" t="s">
        <v>211</v>
      </c>
      <c r="H977" s="5" t="s">
        <v>212</v>
      </c>
      <c r="I977" s="5" t="s">
        <v>213</v>
      </c>
      <c r="J977" s="5">
        <v>17.379497000000001</v>
      </c>
      <c r="K977" s="5">
        <v>-96.161612000000005</v>
      </c>
      <c r="L977" s="5" t="str">
        <f>HYPERLINK("https://maps.google.com/?q=17.379497,-96.161612000000005", "🔗 Ver Mapa")</f>
        <v>🔗 Ver Mapa</v>
      </c>
    </row>
    <row r="978" spans="1:12" ht="43.5" x14ac:dyDescent="0.35">
      <c r="A978" s="6" t="s">
        <v>206</v>
      </c>
      <c r="B978" s="6" t="s">
        <v>207</v>
      </c>
      <c r="C978" s="6" t="s">
        <v>208</v>
      </c>
      <c r="D978" s="6" t="s">
        <v>34</v>
      </c>
      <c r="E978" s="6" t="s">
        <v>209</v>
      </c>
      <c r="F978" s="6" t="s">
        <v>210</v>
      </c>
      <c r="G978" s="6" t="s">
        <v>211</v>
      </c>
      <c r="H978" s="6" t="s">
        <v>212</v>
      </c>
      <c r="I978" s="6" t="s">
        <v>213</v>
      </c>
      <c r="J978" s="6">
        <v>17.379632000000001</v>
      </c>
      <c r="K978" s="6">
        <v>-96.159374</v>
      </c>
      <c r="L978" s="6" t="str">
        <f>HYPERLINK("https://maps.google.com/?q=17.379632,-96.159374", "🔗 Ver Mapa")</f>
        <v>🔗 Ver Mapa</v>
      </c>
    </row>
    <row r="979" spans="1:12" ht="43.5" x14ac:dyDescent="0.35">
      <c r="A979" s="5" t="s">
        <v>206</v>
      </c>
      <c r="B979" s="5" t="s">
        <v>207</v>
      </c>
      <c r="C979" s="5" t="s">
        <v>208</v>
      </c>
      <c r="D979" s="5" t="s">
        <v>34</v>
      </c>
      <c r="E979" s="5" t="s">
        <v>209</v>
      </c>
      <c r="F979" s="5" t="s">
        <v>210</v>
      </c>
      <c r="G979" s="5" t="s">
        <v>211</v>
      </c>
      <c r="H979" s="5" t="s">
        <v>212</v>
      </c>
      <c r="I979" s="5" t="s">
        <v>213</v>
      </c>
      <c r="J979" s="5">
        <v>17.379673</v>
      </c>
      <c r="K979" s="5">
        <v>-96.159878000000006</v>
      </c>
      <c r="L979" s="5" t="str">
        <f>HYPERLINK("https://maps.google.com/?q=17.379673,-96.159878000000006", "🔗 Ver Mapa")</f>
        <v>🔗 Ver Mapa</v>
      </c>
    </row>
    <row r="980" spans="1:12" ht="43.5" x14ac:dyDescent="0.35">
      <c r="A980" s="6" t="s">
        <v>206</v>
      </c>
      <c r="B980" s="6" t="s">
        <v>207</v>
      </c>
      <c r="C980" s="6" t="s">
        <v>208</v>
      </c>
      <c r="D980" s="6" t="s">
        <v>34</v>
      </c>
      <c r="E980" s="6" t="s">
        <v>209</v>
      </c>
      <c r="F980" s="6" t="s">
        <v>210</v>
      </c>
      <c r="G980" s="6" t="s">
        <v>211</v>
      </c>
      <c r="H980" s="6" t="s">
        <v>212</v>
      </c>
      <c r="I980" s="6" t="s">
        <v>213</v>
      </c>
      <c r="J980" s="6">
        <v>17.379691000000001</v>
      </c>
      <c r="K980" s="6">
        <v>-96.161596000000003</v>
      </c>
      <c r="L980" s="6" t="str">
        <f>HYPERLINK("https://maps.google.com/?q=17.379691,-96.161596000000003", "🔗 Ver Mapa")</f>
        <v>🔗 Ver Mapa</v>
      </c>
    </row>
    <row r="981" spans="1:12" ht="43.5" x14ac:dyDescent="0.35">
      <c r="A981" s="5" t="s">
        <v>206</v>
      </c>
      <c r="B981" s="5" t="s">
        <v>207</v>
      </c>
      <c r="C981" s="5" t="s">
        <v>208</v>
      </c>
      <c r="D981" s="5" t="s">
        <v>34</v>
      </c>
      <c r="E981" s="5" t="s">
        <v>209</v>
      </c>
      <c r="F981" s="5" t="s">
        <v>210</v>
      </c>
      <c r="G981" s="5" t="s">
        <v>211</v>
      </c>
      <c r="H981" s="5" t="s">
        <v>212</v>
      </c>
      <c r="I981" s="5" t="s">
        <v>213</v>
      </c>
      <c r="J981" s="5">
        <v>17.379714</v>
      </c>
      <c r="K981" s="5">
        <v>-96.160567999999998</v>
      </c>
      <c r="L981" s="5" t="str">
        <f>HYPERLINK("https://maps.google.com/?q=17.379714,-96.160567999999998", "🔗 Ver Mapa")</f>
        <v>🔗 Ver Mapa</v>
      </c>
    </row>
    <row r="982" spans="1:12" ht="43.5" x14ac:dyDescent="0.35">
      <c r="A982" s="6" t="s">
        <v>206</v>
      </c>
      <c r="B982" s="6" t="s">
        <v>207</v>
      </c>
      <c r="C982" s="6" t="s">
        <v>208</v>
      </c>
      <c r="D982" s="6" t="s">
        <v>34</v>
      </c>
      <c r="E982" s="6" t="s">
        <v>209</v>
      </c>
      <c r="F982" s="6" t="s">
        <v>210</v>
      </c>
      <c r="G982" s="6" t="s">
        <v>211</v>
      </c>
      <c r="H982" s="6" t="s">
        <v>212</v>
      </c>
      <c r="I982" s="6" t="s">
        <v>213</v>
      </c>
      <c r="J982" s="6">
        <v>17.379732000000001</v>
      </c>
      <c r="K982" s="6">
        <v>-96.161220999999998</v>
      </c>
      <c r="L982" s="6" t="str">
        <f>HYPERLINK("https://maps.google.com/?q=17.379732,-96.161220999999998", "🔗 Ver Mapa")</f>
        <v>🔗 Ver Mapa</v>
      </c>
    </row>
    <row r="983" spans="1:12" ht="43.5" x14ac:dyDescent="0.35">
      <c r="A983" s="5" t="s">
        <v>206</v>
      </c>
      <c r="B983" s="5" t="s">
        <v>207</v>
      </c>
      <c r="C983" s="5" t="s">
        <v>208</v>
      </c>
      <c r="D983" s="5" t="s">
        <v>34</v>
      </c>
      <c r="E983" s="5" t="s">
        <v>209</v>
      </c>
      <c r="F983" s="5" t="s">
        <v>210</v>
      </c>
      <c r="G983" s="5" t="s">
        <v>211</v>
      </c>
      <c r="H983" s="5" t="s">
        <v>212</v>
      </c>
      <c r="I983" s="5" t="s">
        <v>213</v>
      </c>
      <c r="J983" s="5">
        <v>17.379739000000001</v>
      </c>
      <c r="K983" s="5">
        <v>-96.159664000000006</v>
      </c>
      <c r="L983" s="5" t="str">
        <f>HYPERLINK("https://maps.google.com/?q=17.379739,-96.159664000000006", "🔗 Ver Mapa")</f>
        <v>🔗 Ver Mapa</v>
      </c>
    </row>
    <row r="984" spans="1:12" ht="43.5" x14ac:dyDescent="0.35">
      <c r="A984" s="6" t="s">
        <v>206</v>
      </c>
      <c r="B984" s="6" t="s">
        <v>207</v>
      </c>
      <c r="C984" s="6" t="s">
        <v>208</v>
      </c>
      <c r="D984" s="6" t="s">
        <v>34</v>
      </c>
      <c r="E984" s="6" t="s">
        <v>209</v>
      </c>
      <c r="F984" s="6" t="s">
        <v>210</v>
      </c>
      <c r="G984" s="6" t="s">
        <v>211</v>
      </c>
      <c r="H984" s="6" t="s">
        <v>212</v>
      </c>
      <c r="I984" s="6" t="s">
        <v>213</v>
      </c>
      <c r="J984" s="6">
        <v>17.379747999999999</v>
      </c>
      <c r="K984" s="6">
        <v>-96.159486999999999</v>
      </c>
      <c r="L984" s="6" t="str">
        <f>HYPERLINK("https://maps.google.com/?q=17.379748,-96.159486999999999", "🔗 Ver Mapa")</f>
        <v>🔗 Ver Mapa</v>
      </c>
    </row>
    <row r="985" spans="1:12" ht="43.5" x14ac:dyDescent="0.35">
      <c r="A985" s="5" t="s">
        <v>206</v>
      </c>
      <c r="B985" s="5" t="s">
        <v>207</v>
      </c>
      <c r="C985" s="5" t="s">
        <v>208</v>
      </c>
      <c r="D985" s="5" t="s">
        <v>34</v>
      </c>
      <c r="E985" s="5" t="s">
        <v>209</v>
      </c>
      <c r="F985" s="5" t="s">
        <v>210</v>
      </c>
      <c r="G985" s="5" t="s">
        <v>211</v>
      </c>
      <c r="H985" s="5" t="s">
        <v>212</v>
      </c>
      <c r="I985" s="5" t="s">
        <v>213</v>
      </c>
      <c r="J985" s="5">
        <v>17.379754999999999</v>
      </c>
      <c r="K985" s="5">
        <v>-96.160307000000003</v>
      </c>
      <c r="L985" s="5" t="str">
        <f>HYPERLINK("https://maps.google.com/?q=17.379755,-96.160307000000003", "🔗 Ver Mapa")</f>
        <v>🔗 Ver Mapa</v>
      </c>
    </row>
    <row r="986" spans="1:12" ht="43.5" x14ac:dyDescent="0.35">
      <c r="A986" s="6" t="s">
        <v>206</v>
      </c>
      <c r="B986" s="6" t="s">
        <v>207</v>
      </c>
      <c r="C986" s="6" t="s">
        <v>208</v>
      </c>
      <c r="D986" s="6" t="s">
        <v>34</v>
      </c>
      <c r="E986" s="6" t="s">
        <v>209</v>
      </c>
      <c r="F986" s="6" t="s">
        <v>210</v>
      </c>
      <c r="G986" s="6" t="s">
        <v>211</v>
      </c>
      <c r="H986" s="6" t="s">
        <v>212</v>
      </c>
      <c r="I986" s="6" t="s">
        <v>213</v>
      </c>
      <c r="J986" s="6">
        <v>17.379781999999999</v>
      </c>
      <c r="K986" s="6">
        <v>-96.159640999999993</v>
      </c>
      <c r="L986" s="6" t="str">
        <f>HYPERLINK("https://maps.google.com/?q=17.379782,-96.159640999999993", "🔗 Ver Mapa")</f>
        <v>🔗 Ver Mapa</v>
      </c>
    </row>
    <row r="987" spans="1:12" ht="43.5" x14ac:dyDescent="0.35">
      <c r="A987" s="5" t="s">
        <v>206</v>
      </c>
      <c r="B987" s="5" t="s">
        <v>207</v>
      </c>
      <c r="C987" s="5" t="s">
        <v>208</v>
      </c>
      <c r="D987" s="5" t="s">
        <v>34</v>
      </c>
      <c r="E987" s="5" t="s">
        <v>209</v>
      </c>
      <c r="F987" s="5" t="s">
        <v>210</v>
      </c>
      <c r="G987" s="5" t="s">
        <v>211</v>
      </c>
      <c r="H987" s="5" t="s">
        <v>212</v>
      </c>
      <c r="I987" s="5" t="s">
        <v>213</v>
      </c>
      <c r="J987" s="5">
        <v>17.379784999999998</v>
      </c>
      <c r="K987" s="5">
        <v>-96.162509</v>
      </c>
      <c r="L987" s="5" t="str">
        <f>HYPERLINK("https://maps.google.com/?q=17.379785,-96.162509", "🔗 Ver Mapa")</f>
        <v>🔗 Ver Mapa</v>
      </c>
    </row>
    <row r="988" spans="1:12" ht="43.5" x14ac:dyDescent="0.35">
      <c r="A988" s="6" t="s">
        <v>206</v>
      </c>
      <c r="B988" s="6" t="s">
        <v>207</v>
      </c>
      <c r="C988" s="6" t="s">
        <v>208</v>
      </c>
      <c r="D988" s="6" t="s">
        <v>34</v>
      </c>
      <c r="E988" s="6" t="s">
        <v>209</v>
      </c>
      <c r="F988" s="6" t="s">
        <v>210</v>
      </c>
      <c r="G988" s="6" t="s">
        <v>211</v>
      </c>
      <c r="H988" s="6" t="s">
        <v>212</v>
      </c>
      <c r="I988" s="6" t="s">
        <v>213</v>
      </c>
      <c r="J988" s="6">
        <v>17.37979</v>
      </c>
      <c r="K988" s="6">
        <v>-96.159723999999997</v>
      </c>
      <c r="L988" s="6" t="str">
        <f>HYPERLINK("https://maps.google.com/?q=17.37979,-96.159723999999997", "🔗 Ver Mapa")</f>
        <v>🔗 Ver Mapa</v>
      </c>
    </row>
    <row r="989" spans="1:12" ht="43.5" x14ac:dyDescent="0.35">
      <c r="A989" s="5" t="s">
        <v>206</v>
      </c>
      <c r="B989" s="5" t="s">
        <v>207</v>
      </c>
      <c r="C989" s="5" t="s">
        <v>208</v>
      </c>
      <c r="D989" s="5" t="s">
        <v>34</v>
      </c>
      <c r="E989" s="5" t="s">
        <v>209</v>
      </c>
      <c r="F989" s="5" t="s">
        <v>210</v>
      </c>
      <c r="G989" s="5" t="s">
        <v>211</v>
      </c>
      <c r="H989" s="5" t="s">
        <v>212</v>
      </c>
      <c r="I989" s="5" t="s">
        <v>213</v>
      </c>
      <c r="J989" s="5">
        <v>17.379795999999999</v>
      </c>
      <c r="K989" s="5">
        <v>-96.161619999999999</v>
      </c>
      <c r="L989" s="5" t="str">
        <f>HYPERLINK("https://maps.google.com/?q=17.379796,-96.161619999999999", "🔗 Ver Mapa")</f>
        <v>🔗 Ver Mapa</v>
      </c>
    </row>
    <row r="990" spans="1:12" ht="43.5" x14ac:dyDescent="0.35">
      <c r="A990" s="6" t="s">
        <v>206</v>
      </c>
      <c r="B990" s="6" t="s">
        <v>207</v>
      </c>
      <c r="C990" s="6" t="s">
        <v>208</v>
      </c>
      <c r="D990" s="6" t="s">
        <v>34</v>
      </c>
      <c r="E990" s="6" t="s">
        <v>209</v>
      </c>
      <c r="F990" s="6" t="s">
        <v>210</v>
      </c>
      <c r="G990" s="6" t="s">
        <v>211</v>
      </c>
      <c r="H990" s="6" t="s">
        <v>212</v>
      </c>
      <c r="I990" s="6" t="s">
        <v>213</v>
      </c>
      <c r="J990" s="6">
        <v>17.379807</v>
      </c>
      <c r="K990" s="6">
        <v>-96.161472000000003</v>
      </c>
      <c r="L990" s="6" t="str">
        <f>HYPERLINK("https://maps.google.com/?q=17.379807,-96.161472000000003", "🔗 Ver Mapa")</f>
        <v>🔗 Ver Mapa</v>
      </c>
    </row>
    <row r="991" spans="1:12" ht="43.5" x14ac:dyDescent="0.35">
      <c r="A991" s="5" t="s">
        <v>206</v>
      </c>
      <c r="B991" s="5" t="s">
        <v>207</v>
      </c>
      <c r="C991" s="5" t="s">
        <v>208</v>
      </c>
      <c r="D991" s="5" t="s">
        <v>34</v>
      </c>
      <c r="E991" s="5" t="s">
        <v>209</v>
      </c>
      <c r="F991" s="5" t="s">
        <v>210</v>
      </c>
      <c r="G991" s="5" t="s">
        <v>211</v>
      </c>
      <c r="H991" s="5" t="s">
        <v>212</v>
      </c>
      <c r="I991" s="5" t="s">
        <v>213</v>
      </c>
      <c r="J991" s="5">
        <v>17.379846000000001</v>
      </c>
      <c r="K991" s="5">
        <v>-96.161167000000006</v>
      </c>
      <c r="L991" s="5" t="str">
        <f>HYPERLINK("https://maps.google.com/?q=17.379846,-96.161167000000006", "🔗 Ver Mapa")</f>
        <v>🔗 Ver Mapa</v>
      </c>
    </row>
    <row r="992" spans="1:12" ht="43.5" x14ac:dyDescent="0.35">
      <c r="A992" s="6" t="s">
        <v>206</v>
      </c>
      <c r="B992" s="6" t="s">
        <v>207</v>
      </c>
      <c r="C992" s="6" t="s">
        <v>208</v>
      </c>
      <c r="D992" s="6" t="s">
        <v>34</v>
      </c>
      <c r="E992" s="6" t="s">
        <v>209</v>
      </c>
      <c r="F992" s="6" t="s">
        <v>210</v>
      </c>
      <c r="G992" s="6" t="s">
        <v>211</v>
      </c>
      <c r="H992" s="6" t="s">
        <v>212</v>
      </c>
      <c r="I992" s="6" t="s">
        <v>213</v>
      </c>
      <c r="J992" s="6">
        <v>17.379850999999999</v>
      </c>
      <c r="K992" s="6">
        <v>-96.161608000000001</v>
      </c>
      <c r="L992" s="6" t="str">
        <f>HYPERLINK("https://maps.google.com/?q=17.379851,-96.161608000000001", "🔗 Ver Mapa")</f>
        <v>🔗 Ver Mapa</v>
      </c>
    </row>
    <row r="993" spans="1:12" ht="43.5" x14ac:dyDescent="0.35">
      <c r="A993" s="5" t="s">
        <v>206</v>
      </c>
      <c r="B993" s="5" t="s">
        <v>207</v>
      </c>
      <c r="C993" s="5" t="s">
        <v>208</v>
      </c>
      <c r="D993" s="5" t="s">
        <v>34</v>
      </c>
      <c r="E993" s="5" t="s">
        <v>209</v>
      </c>
      <c r="F993" s="5" t="s">
        <v>210</v>
      </c>
      <c r="G993" s="5" t="s">
        <v>211</v>
      </c>
      <c r="H993" s="5" t="s">
        <v>212</v>
      </c>
      <c r="I993" s="5" t="s">
        <v>213</v>
      </c>
      <c r="J993" s="5">
        <v>17.379906999999999</v>
      </c>
      <c r="K993" s="5">
        <v>-96.162913000000003</v>
      </c>
      <c r="L993" s="5" t="str">
        <f>HYPERLINK("https://maps.google.com/?q=17.379907,-96.162913000000003", "🔗 Ver Mapa")</f>
        <v>🔗 Ver Mapa</v>
      </c>
    </row>
    <row r="994" spans="1:12" ht="43.5" x14ac:dyDescent="0.35">
      <c r="A994" s="6" t="s">
        <v>206</v>
      </c>
      <c r="B994" s="6" t="s">
        <v>207</v>
      </c>
      <c r="C994" s="6" t="s">
        <v>208</v>
      </c>
      <c r="D994" s="6" t="s">
        <v>34</v>
      </c>
      <c r="E994" s="6" t="s">
        <v>209</v>
      </c>
      <c r="F994" s="6" t="s">
        <v>210</v>
      </c>
      <c r="G994" s="6" t="s">
        <v>211</v>
      </c>
      <c r="H994" s="6" t="s">
        <v>212</v>
      </c>
      <c r="I994" s="6" t="s">
        <v>213</v>
      </c>
      <c r="J994" s="6">
        <v>17.379940999999999</v>
      </c>
      <c r="K994" s="6">
        <v>-96.161097999999996</v>
      </c>
      <c r="L994" s="6" t="str">
        <f>HYPERLINK("https://maps.google.com/?q=17.379941,-96.161097999999996", "🔗 Ver Mapa")</f>
        <v>🔗 Ver Mapa</v>
      </c>
    </row>
    <row r="995" spans="1:12" ht="43.5" x14ac:dyDescent="0.35">
      <c r="A995" s="5" t="s">
        <v>206</v>
      </c>
      <c r="B995" s="5" t="s">
        <v>207</v>
      </c>
      <c r="C995" s="5" t="s">
        <v>208</v>
      </c>
      <c r="D995" s="5" t="s">
        <v>34</v>
      </c>
      <c r="E995" s="5" t="s">
        <v>209</v>
      </c>
      <c r="F995" s="5" t="s">
        <v>210</v>
      </c>
      <c r="G995" s="5" t="s">
        <v>211</v>
      </c>
      <c r="H995" s="5" t="s">
        <v>212</v>
      </c>
      <c r="I995" s="5" t="s">
        <v>213</v>
      </c>
      <c r="J995" s="5">
        <v>17.379944999999999</v>
      </c>
      <c r="K995" s="5">
        <v>-96.160375000000002</v>
      </c>
      <c r="L995" s="5" t="str">
        <f>HYPERLINK("https://maps.google.com/?q=17.379945,-96.160375000000002", "🔗 Ver Mapa")</f>
        <v>🔗 Ver Mapa</v>
      </c>
    </row>
    <row r="996" spans="1:12" ht="43.5" x14ac:dyDescent="0.35">
      <c r="A996" s="6" t="s">
        <v>206</v>
      </c>
      <c r="B996" s="6" t="s">
        <v>207</v>
      </c>
      <c r="C996" s="6" t="s">
        <v>208</v>
      </c>
      <c r="D996" s="6" t="s">
        <v>34</v>
      </c>
      <c r="E996" s="6" t="s">
        <v>209</v>
      </c>
      <c r="F996" s="6" t="s">
        <v>210</v>
      </c>
      <c r="G996" s="6" t="s">
        <v>211</v>
      </c>
      <c r="H996" s="6" t="s">
        <v>212</v>
      </c>
      <c r="I996" s="6" t="s">
        <v>213</v>
      </c>
      <c r="J996" s="6">
        <v>17.379946</v>
      </c>
      <c r="K996" s="6">
        <v>-96.159947000000003</v>
      </c>
      <c r="L996" s="6" t="str">
        <f>HYPERLINK("https://maps.google.com/?q=17.379946,-96.159947000000003", "🔗 Ver Mapa")</f>
        <v>🔗 Ver Mapa</v>
      </c>
    </row>
    <row r="997" spans="1:12" ht="43.5" x14ac:dyDescent="0.35">
      <c r="A997" s="5" t="s">
        <v>206</v>
      </c>
      <c r="B997" s="5" t="s">
        <v>207</v>
      </c>
      <c r="C997" s="5" t="s">
        <v>208</v>
      </c>
      <c r="D997" s="5" t="s">
        <v>34</v>
      </c>
      <c r="E997" s="5" t="s">
        <v>209</v>
      </c>
      <c r="F997" s="5" t="s">
        <v>210</v>
      </c>
      <c r="G997" s="5" t="s">
        <v>211</v>
      </c>
      <c r="H997" s="5" t="s">
        <v>212</v>
      </c>
      <c r="I997" s="5" t="s">
        <v>213</v>
      </c>
      <c r="J997" s="5">
        <v>17.379951999999999</v>
      </c>
      <c r="K997" s="5">
        <v>-96.163036000000005</v>
      </c>
      <c r="L997" s="5" t="str">
        <f>HYPERLINK("https://maps.google.com/?q=17.379952,-96.163036000000005", "🔗 Ver Mapa")</f>
        <v>🔗 Ver Mapa</v>
      </c>
    </row>
    <row r="998" spans="1:12" ht="43.5" x14ac:dyDescent="0.35">
      <c r="A998" s="6" t="s">
        <v>206</v>
      </c>
      <c r="B998" s="6" t="s">
        <v>207</v>
      </c>
      <c r="C998" s="6" t="s">
        <v>208</v>
      </c>
      <c r="D998" s="6" t="s">
        <v>34</v>
      </c>
      <c r="E998" s="6" t="s">
        <v>209</v>
      </c>
      <c r="F998" s="6" t="s">
        <v>210</v>
      </c>
      <c r="G998" s="6" t="s">
        <v>211</v>
      </c>
      <c r="H998" s="6" t="s">
        <v>212</v>
      </c>
      <c r="I998" s="6" t="s">
        <v>213</v>
      </c>
      <c r="J998" s="6">
        <v>17.379971999999999</v>
      </c>
      <c r="K998" s="6">
        <v>-96.162514000000002</v>
      </c>
      <c r="L998" s="6" t="str">
        <f>HYPERLINK("https://maps.google.com/?q=17.379972,-96.162514000000002", "🔗 Ver Mapa")</f>
        <v>🔗 Ver Mapa</v>
      </c>
    </row>
    <row r="999" spans="1:12" ht="43.5" x14ac:dyDescent="0.35">
      <c r="A999" s="5" t="s">
        <v>206</v>
      </c>
      <c r="B999" s="5" t="s">
        <v>207</v>
      </c>
      <c r="C999" s="5" t="s">
        <v>208</v>
      </c>
      <c r="D999" s="5" t="s">
        <v>34</v>
      </c>
      <c r="E999" s="5" t="s">
        <v>209</v>
      </c>
      <c r="F999" s="5" t="s">
        <v>210</v>
      </c>
      <c r="G999" s="5" t="s">
        <v>211</v>
      </c>
      <c r="H999" s="5" t="s">
        <v>212</v>
      </c>
      <c r="I999" s="5" t="s">
        <v>213</v>
      </c>
      <c r="J999" s="5">
        <v>17.379985000000001</v>
      </c>
      <c r="K999" s="5">
        <v>-96.163298999999995</v>
      </c>
      <c r="L999" s="5" t="str">
        <f>HYPERLINK("https://maps.google.com/?q=17.379985,-96.163298999999995", "🔗 Ver Mapa")</f>
        <v>🔗 Ver Mapa</v>
      </c>
    </row>
    <row r="1000" spans="1:12" ht="43.5" x14ac:dyDescent="0.35">
      <c r="A1000" s="6" t="s">
        <v>206</v>
      </c>
      <c r="B1000" s="6" t="s">
        <v>207</v>
      </c>
      <c r="C1000" s="6" t="s">
        <v>208</v>
      </c>
      <c r="D1000" s="6" t="s">
        <v>34</v>
      </c>
      <c r="E1000" s="6" t="s">
        <v>209</v>
      </c>
      <c r="F1000" s="6" t="s">
        <v>210</v>
      </c>
      <c r="G1000" s="6" t="s">
        <v>211</v>
      </c>
      <c r="H1000" s="6" t="s">
        <v>212</v>
      </c>
      <c r="I1000" s="6" t="s">
        <v>213</v>
      </c>
      <c r="J1000" s="6">
        <v>17.379999000000002</v>
      </c>
      <c r="K1000" s="6">
        <v>-96.163176000000007</v>
      </c>
      <c r="L1000" s="6" t="str">
        <f>HYPERLINK("https://maps.google.com/?q=17.379999,-96.163176000000007", "🔗 Ver Mapa")</f>
        <v>🔗 Ver Mapa</v>
      </c>
    </row>
    <row r="1001" spans="1:12" ht="43.5" x14ac:dyDescent="0.35">
      <c r="A1001" s="5" t="s">
        <v>206</v>
      </c>
      <c r="B1001" s="5" t="s">
        <v>207</v>
      </c>
      <c r="C1001" s="5" t="s">
        <v>208</v>
      </c>
      <c r="D1001" s="5" t="s">
        <v>34</v>
      </c>
      <c r="E1001" s="5" t="s">
        <v>209</v>
      </c>
      <c r="F1001" s="5" t="s">
        <v>210</v>
      </c>
      <c r="G1001" s="5" t="s">
        <v>211</v>
      </c>
      <c r="H1001" s="5" t="s">
        <v>212</v>
      </c>
      <c r="I1001" s="5" t="s">
        <v>213</v>
      </c>
      <c r="J1001" s="5">
        <v>17.380004</v>
      </c>
      <c r="K1001" s="5">
        <v>-96.162789000000004</v>
      </c>
      <c r="L1001" s="5" t="str">
        <f>HYPERLINK("https://maps.google.com/?q=17.380004,-96.162789000000004", "🔗 Ver Mapa")</f>
        <v>🔗 Ver Mapa</v>
      </c>
    </row>
    <row r="1002" spans="1:12" ht="43.5" x14ac:dyDescent="0.35">
      <c r="A1002" s="6" t="s">
        <v>206</v>
      </c>
      <c r="B1002" s="6" t="s">
        <v>207</v>
      </c>
      <c r="C1002" s="6" t="s">
        <v>208</v>
      </c>
      <c r="D1002" s="6" t="s">
        <v>34</v>
      </c>
      <c r="E1002" s="6" t="s">
        <v>209</v>
      </c>
      <c r="F1002" s="6" t="s">
        <v>210</v>
      </c>
      <c r="G1002" s="6" t="s">
        <v>211</v>
      </c>
      <c r="H1002" s="6" t="s">
        <v>212</v>
      </c>
      <c r="I1002" s="6" t="s">
        <v>213</v>
      </c>
      <c r="J1002" s="6">
        <v>17.380006000000002</v>
      </c>
      <c r="K1002" s="6">
        <v>-96.162182999999999</v>
      </c>
      <c r="L1002" s="6" t="str">
        <f>HYPERLINK("https://maps.google.com/?q=17.380006,-96.162182999999999", "🔗 Ver Mapa")</f>
        <v>🔗 Ver Mapa</v>
      </c>
    </row>
    <row r="1003" spans="1:12" ht="43.5" x14ac:dyDescent="0.35">
      <c r="A1003" s="5" t="s">
        <v>206</v>
      </c>
      <c r="B1003" s="5" t="s">
        <v>207</v>
      </c>
      <c r="C1003" s="5" t="s">
        <v>208</v>
      </c>
      <c r="D1003" s="5" t="s">
        <v>34</v>
      </c>
      <c r="E1003" s="5" t="s">
        <v>209</v>
      </c>
      <c r="F1003" s="5" t="s">
        <v>210</v>
      </c>
      <c r="G1003" s="5" t="s">
        <v>211</v>
      </c>
      <c r="H1003" s="5" t="s">
        <v>212</v>
      </c>
      <c r="I1003" s="5" t="s">
        <v>213</v>
      </c>
      <c r="J1003" s="5">
        <v>17.380008</v>
      </c>
      <c r="K1003" s="5">
        <v>-96.162597000000005</v>
      </c>
      <c r="L1003" s="5" t="str">
        <f>HYPERLINK("https://maps.google.com/?q=17.380008,-96.162597000000005", "🔗 Ver Mapa")</f>
        <v>🔗 Ver Mapa</v>
      </c>
    </row>
    <row r="1004" spans="1:12" ht="43.5" x14ac:dyDescent="0.35">
      <c r="A1004" s="6" t="s">
        <v>206</v>
      </c>
      <c r="B1004" s="6" t="s">
        <v>207</v>
      </c>
      <c r="C1004" s="6" t="s">
        <v>208</v>
      </c>
      <c r="D1004" s="6" t="s">
        <v>34</v>
      </c>
      <c r="E1004" s="6" t="s">
        <v>209</v>
      </c>
      <c r="F1004" s="6" t="s">
        <v>210</v>
      </c>
      <c r="G1004" s="6" t="s">
        <v>211</v>
      </c>
      <c r="H1004" s="6" t="s">
        <v>212</v>
      </c>
      <c r="I1004" s="6" t="s">
        <v>213</v>
      </c>
      <c r="J1004" s="6">
        <v>17.380033000000001</v>
      </c>
      <c r="K1004" s="6">
        <v>-96.162497999999999</v>
      </c>
      <c r="L1004" s="6" t="str">
        <f>HYPERLINK("https://maps.google.com/?q=17.380033,-96.162497999999999", "🔗 Ver Mapa")</f>
        <v>🔗 Ver Mapa</v>
      </c>
    </row>
    <row r="1005" spans="1:12" ht="43.5" x14ac:dyDescent="0.35">
      <c r="A1005" s="5" t="s">
        <v>206</v>
      </c>
      <c r="B1005" s="5" t="s">
        <v>207</v>
      </c>
      <c r="C1005" s="5" t="s">
        <v>208</v>
      </c>
      <c r="D1005" s="5" t="s">
        <v>34</v>
      </c>
      <c r="E1005" s="5" t="s">
        <v>209</v>
      </c>
      <c r="F1005" s="5" t="s">
        <v>210</v>
      </c>
      <c r="G1005" s="5" t="s">
        <v>211</v>
      </c>
      <c r="H1005" s="5" t="s">
        <v>212</v>
      </c>
      <c r="I1005" s="5" t="s">
        <v>213</v>
      </c>
      <c r="J1005" s="5">
        <v>17.380036</v>
      </c>
      <c r="K1005" s="5">
        <v>-96.160129999999995</v>
      </c>
      <c r="L1005" s="5" t="str">
        <f>HYPERLINK("https://maps.google.com/?q=17.380036,-96.160129999999995", "🔗 Ver Mapa")</f>
        <v>🔗 Ver Mapa</v>
      </c>
    </row>
    <row r="1006" spans="1:12" ht="43.5" x14ac:dyDescent="0.35">
      <c r="A1006" s="6" t="s">
        <v>206</v>
      </c>
      <c r="B1006" s="6" t="s">
        <v>207</v>
      </c>
      <c r="C1006" s="6" t="s">
        <v>208</v>
      </c>
      <c r="D1006" s="6" t="s">
        <v>34</v>
      </c>
      <c r="E1006" s="6" t="s">
        <v>209</v>
      </c>
      <c r="F1006" s="6" t="s">
        <v>210</v>
      </c>
      <c r="G1006" s="6" t="s">
        <v>211</v>
      </c>
      <c r="H1006" s="6" t="s">
        <v>212</v>
      </c>
      <c r="I1006" s="6" t="s">
        <v>213</v>
      </c>
      <c r="J1006" s="6">
        <v>17.380054000000001</v>
      </c>
      <c r="K1006" s="6">
        <v>-96.160263999999998</v>
      </c>
      <c r="L1006" s="6" t="str">
        <f>HYPERLINK("https://maps.google.com/?q=17.380054,-96.160263999999998", "🔗 Ver Mapa")</f>
        <v>🔗 Ver Mapa</v>
      </c>
    </row>
    <row r="1007" spans="1:12" ht="43.5" x14ac:dyDescent="0.35">
      <c r="A1007" s="5" t="s">
        <v>206</v>
      </c>
      <c r="B1007" s="5" t="s">
        <v>207</v>
      </c>
      <c r="C1007" s="5" t="s">
        <v>208</v>
      </c>
      <c r="D1007" s="5" t="s">
        <v>34</v>
      </c>
      <c r="E1007" s="5" t="s">
        <v>209</v>
      </c>
      <c r="F1007" s="5" t="s">
        <v>210</v>
      </c>
      <c r="G1007" s="5" t="s">
        <v>211</v>
      </c>
      <c r="H1007" s="5" t="s">
        <v>212</v>
      </c>
      <c r="I1007" s="5" t="s">
        <v>213</v>
      </c>
      <c r="J1007" s="5">
        <v>17.380064999999998</v>
      </c>
      <c r="K1007" s="5">
        <v>-96.160246999999998</v>
      </c>
      <c r="L1007" s="5" t="str">
        <f>HYPERLINK("https://maps.google.com/?q=17.380065,-96.160246999999998", "🔗 Ver Mapa")</f>
        <v>🔗 Ver Mapa</v>
      </c>
    </row>
    <row r="1008" spans="1:12" ht="43.5" x14ac:dyDescent="0.35">
      <c r="A1008" s="6" t="s">
        <v>206</v>
      </c>
      <c r="B1008" s="6" t="s">
        <v>207</v>
      </c>
      <c r="C1008" s="6" t="s">
        <v>208</v>
      </c>
      <c r="D1008" s="6" t="s">
        <v>34</v>
      </c>
      <c r="E1008" s="6" t="s">
        <v>209</v>
      </c>
      <c r="F1008" s="6" t="s">
        <v>210</v>
      </c>
      <c r="G1008" s="6" t="s">
        <v>211</v>
      </c>
      <c r="H1008" s="6" t="s">
        <v>212</v>
      </c>
      <c r="I1008" s="6" t="s">
        <v>213</v>
      </c>
      <c r="J1008" s="6">
        <v>17.380067</v>
      </c>
      <c r="K1008" s="6">
        <v>-96.160132000000004</v>
      </c>
      <c r="L1008" s="6" t="str">
        <f>HYPERLINK("https://maps.google.com/?q=17.380067,-96.160132000000004", "🔗 Ver Mapa")</f>
        <v>🔗 Ver Mapa</v>
      </c>
    </row>
    <row r="1009" spans="1:12" ht="43.5" x14ac:dyDescent="0.35">
      <c r="A1009" s="5" t="s">
        <v>206</v>
      </c>
      <c r="B1009" s="5" t="s">
        <v>207</v>
      </c>
      <c r="C1009" s="5" t="s">
        <v>208</v>
      </c>
      <c r="D1009" s="5" t="s">
        <v>34</v>
      </c>
      <c r="E1009" s="5" t="s">
        <v>209</v>
      </c>
      <c r="F1009" s="5" t="s">
        <v>210</v>
      </c>
      <c r="G1009" s="5" t="s">
        <v>211</v>
      </c>
      <c r="H1009" s="5" t="s">
        <v>212</v>
      </c>
      <c r="I1009" s="5" t="s">
        <v>213</v>
      </c>
      <c r="J1009" s="5">
        <v>17.380075000000001</v>
      </c>
      <c r="K1009" s="5">
        <v>-96.160048000000003</v>
      </c>
      <c r="L1009" s="5" t="str">
        <f>HYPERLINK("https://maps.google.com/?q=17.380075,-96.160048000000003", "🔗 Ver Mapa")</f>
        <v>🔗 Ver Mapa</v>
      </c>
    </row>
    <row r="1010" spans="1:12" ht="43.5" x14ac:dyDescent="0.35">
      <c r="A1010" s="6" t="s">
        <v>206</v>
      </c>
      <c r="B1010" s="6" t="s">
        <v>207</v>
      </c>
      <c r="C1010" s="6" t="s">
        <v>208</v>
      </c>
      <c r="D1010" s="6" t="s">
        <v>34</v>
      </c>
      <c r="E1010" s="6" t="s">
        <v>209</v>
      </c>
      <c r="F1010" s="6" t="s">
        <v>210</v>
      </c>
      <c r="G1010" s="6" t="s">
        <v>211</v>
      </c>
      <c r="H1010" s="6" t="s">
        <v>212</v>
      </c>
      <c r="I1010" s="6" t="s">
        <v>213</v>
      </c>
      <c r="J1010" s="6">
        <v>17.380096000000002</v>
      </c>
      <c r="K1010" s="6">
        <v>-96.160253999999995</v>
      </c>
      <c r="L1010" s="6" t="str">
        <f>HYPERLINK("https://maps.google.com/?q=17.380096,-96.160253999999995", "🔗 Ver Mapa")</f>
        <v>🔗 Ver Mapa</v>
      </c>
    </row>
    <row r="1011" spans="1:12" ht="43.5" x14ac:dyDescent="0.35">
      <c r="A1011" s="5" t="s">
        <v>206</v>
      </c>
      <c r="B1011" s="5" t="s">
        <v>207</v>
      </c>
      <c r="C1011" s="5" t="s">
        <v>208</v>
      </c>
      <c r="D1011" s="5" t="s">
        <v>34</v>
      </c>
      <c r="E1011" s="5" t="s">
        <v>209</v>
      </c>
      <c r="F1011" s="5" t="s">
        <v>210</v>
      </c>
      <c r="G1011" s="5" t="s">
        <v>211</v>
      </c>
      <c r="H1011" s="5" t="s">
        <v>212</v>
      </c>
      <c r="I1011" s="5" t="s">
        <v>213</v>
      </c>
      <c r="J1011" s="5">
        <v>17.380118</v>
      </c>
      <c r="K1011" s="5">
        <v>-96.161762999999993</v>
      </c>
      <c r="L1011" s="5" t="str">
        <f>HYPERLINK("https://maps.google.com/?q=17.380118,-96.161762999999993", "🔗 Ver Mapa")</f>
        <v>🔗 Ver Mapa</v>
      </c>
    </row>
    <row r="1012" spans="1:12" ht="43.5" x14ac:dyDescent="0.35">
      <c r="A1012" s="6" t="s">
        <v>206</v>
      </c>
      <c r="B1012" s="6" t="s">
        <v>207</v>
      </c>
      <c r="C1012" s="6" t="s">
        <v>208</v>
      </c>
      <c r="D1012" s="6" t="s">
        <v>34</v>
      </c>
      <c r="E1012" s="6" t="s">
        <v>209</v>
      </c>
      <c r="F1012" s="6" t="s">
        <v>210</v>
      </c>
      <c r="G1012" s="6" t="s">
        <v>211</v>
      </c>
      <c r="H1012" s="6" t="s">
        <v>212</v>
      </c>
      <c r="I1012" s="6" t="s">
        <v>213</v>
      </c>
      <c r="J1012" s="6">
        <v>17.380137999999999</v>
      </c>
      <c r="K1012" s="6">
        <v>-96.160842000000002</v>
      </c>
      <c r="L1012" s="6" t="str">
        <f>HYPERLINK("https://maps.google.com/?q=17.380138,-96.160842000000002", "🔗 Ver Mapa")</f>
        <v>🔗 Ver Mapa</v>
      </c>
    </row>
    <row r="1013" spans="1:12" ht="43.5" x14ac:dyDescent="0.35">
      <c r="A1013" s="5" t="s">
        <v>206</v>
      </c>
      <c r="B1013" s="5" t="s">
        <v>207</v>
      </c>
      <c r="C1013" s="5" t="s">
        <v>208</v>
      </c>
      <c r="D1013" s="5" t="s">
        <v>34</v>
      </c>
      <c r="E1013" s="5" t="s">
        <v>209</v>
      </c>
      <c r="F1013" s="5" t="s">
        <v>210</v>
      </c>
      <c r="G1013" s="5" t="s">
        <v>211</v>
      </c>
      <c r="H1013" s="5" t="s">
        <v>212</v>
      </c>
      <c r="I1013" s="5" t="s">
        <v>213</v>
      </c>
      <c r="J1013" s="5">
        <v>17.380172999999999</v>
      </c>
      <c r="K1013" s="5">
        <v>-96.162471999999994</v>
      </c>
      <c r="L1013" s="5" t="str">
        <f>HYPERLINK("https://maps.google.com/?q=17.380173,-96.162471999999994", "🔗 Ver Mapa")</f>
        <v>🔗 Ver Mapa</v>
      </c>
    </row>
    <row r="1014" spans="1:12" ht="43.5" x14ac:dyDescent="0.35">
      <c r="A1014" s="6" t="s">
        <v>206</v>
      </c>
      <c r="B1014" s="6" t="s">
        <v>207</v>
      </c>
      <c r="C1014" s="6" t="s">
        <v>208</v>
      </c>
      <c r="D1014" s="6" t="s">
        <v>34</v>
      </c>
      <c r="E1014" s="6" t="s">
        <v>209</v>
      </c>
      <c r="F1014" s="6" t="s">
        <v>210</v>
      </c>
      <c r="G1014" s="6" t="s">
        <v>211</v>
      </c>
      <c r="H1014" s="6" t="s">
        <v>212</v>
      </c>
      <c r="I1014" s="6" t="s">
        <v>213</v>
      </c>
      <c r="J1014" s="6">
        <v>17.380188</v>
      </c>
      <c r="K1014" s="6">
        <v>-96.160233000000005</v>
      </c>
      <c r="L1014" s="6" t="str">
        <f>HYPERLINK("https://maps.google.com/?q=17.380188,-96.160233000000005", "🔗 Ver Mapa")</f>
        <v>🔗 Ver Mapa</v>
      </c>
    </row>
    <row r="1015" spans="1:12" ht="43.5" x14ac:dyDescent="0.35">
      <c r="A1015" s="5" t="s">
        <v>206</v>
      </c>
      <c r="B1015" s="5" t="s">
        <v>207</v>
      </c>
      <c r="C1015" s="5" t="s">
        <v>208</v>
      </c>
      <c r="D1015" s="5" t="s">
        <v>34</v>
      </c>
      <c r="E1015" s="5" t="s">
        <v>209</v>
      </c>
      <c r="F1015" s="5" t="s">
        <v>210</v>
      </c>
      <c r="G1015" s="5" t="s">
        <v>211</v>
      </c>
      <c r="H1015" s="5" t="s">
        <v>212</v>
      </c>
      <c r="I1015" s="5" t="s">
        <v>213</v>
      </c>
      <c r="J1015" s="5">
        <v>17.380195000000001</v>
      </c>
      <c r="K1015" s="5">
        <v>-96.160836000000003</v>
      </c>
      <c r="L1015" s="5" t="str">
        <f>HYPERLINK("https://maps.google.com/?q=17.380195,-96.160836000000003", "🔗 Ver Mapa")</f>
        <v>🔗 Ver Mapa</v>
      </c>
    </row>
    <row r="1016" spans="1:12" ht="43.5" x14ac:dyDescent="0.35">
      <c r="A1016" s="6" t="s">
        <v>206</v>
      </c>
      <c r="B1016" s="6" t="s">
        <v>207</v>
      </c>
      <c r="C1016" s="6" t="s">
        <v>208</v>
      </c>
      <c r="D1016" s="6" t="s">
        <v>34</v>
      </c>
      <c r="E1016" s="6" t="s">
        <v>209</v>
      </c>
      <c r="F1016" s="6" t="s">
        <v>210</v>
      </c>
      <c r="G1016" s="6" t="s">
        <v>211</v>
      </c>
      <c r="H1016" s="6" t="s">
        <v>212</v>
      </c>
      <c r="I1016" s="6" t="s">
        <v>213</v>
      </c>
      <c r="J1016" s="6">
        <v>17.380213000000001</v>
      </c>
      <c r="K1016" s="6">
        <v>-96.161011999999999</v>
      </c>
      <c r="L1016" s="6" t="str">
        <f>HYPERLINK("https://maps.google.com/?q=17.380213,-96.161011999999999", "🔗 Ver Mapa")</f>
        <v>🔗 Ver Mapa</v>
      </c>
    </row>
    <row r="1017" spans="1:12" ht="43.5" x14ac:dyDescent="0.35">
      <c r="A1017" s="5" t="s">
        <v>206</v>
      </c>
      <c r="B1017" s="5" t="s">
        <v>207</v>
      </c>
      <c r="C1017" s="5" t="s">
        <v>208</v>
      </c>
      <c r="D1017" s="5" t="s">
        <v>34</v>
      </c>
      <c r="E1017" s="5" t="s">
        <v>209</v>
      </c>
      <c r="F1017" s="5" t="s">
        <v>210</v>
      </c>
      <c r="G1017" s="5" t="s">
        <v>211</v>
      </c>
      <c r="H1017" s="5" t="s">
        <v>212</v>
      </c>
      <c r="I1017" s="5" t="s">
        <v>213</v>
      </c>
      <c r="J1017" s="5">
        <v>17.380220000000001</v>
      </c>
      <c r="K1017" s="5">
        <v>-96.162485000000004</v>
      </c>
      <c r="L1017" s="5" t="str">
        <f>HYPERLINK("https://maps.google.com/?q=17.38022,-96.162485000000004", "🔗 Ver Mapa")</f>
        <v>🔗 Ver Mapa</v>
      </c>
    </row>
    <row r="1018" spans="1:12" ht="43.5" x14ac:dyDescent="0.35">
      <c r="A1018" s="6" t="s">
        <v>206</v>
      </c>
      <c r="B1018" s="6" t="s">
        <v>207</v>
      </c>
      <c r="C1018" s="6" t="s">
        <v>208</v>
      </c>
      <c r="D1018" s="6" t="s">
        <v>34</v>
      </c>
      <c r="E1018" s="6" t="s">
        <v>209</v>
      </c>
      <c r="F1018" s="6" t="s">
        <v>210</v>
      </c>
      <c r="G1018" s="6" t="s">
        <v>211</v>
      </c>
      <c r="H1018" s="6" t="s">
        <v>212</v>
      </c>
      <c r="I1018" s="6" t="s">
        <v>213</v>
      </c>
      <c r="J1018" s="6">
        <v>17.380237000000001</v>
      </c>
      <c r="K1018" s="6">
        <v>-96.159681000000006</v>
      </c>
      <c r="L1018" s="6" t="str">
        <f>HYPERLINK("https://maps.google.com/?q=17.380237,-96.159681000000006", "🔗 Ver Mapa")</f>
        <v>🔗 Ver Mapa</v>
      </c>
    </row>
    <row r="1019" spans="1:12" ht="43.5" x14ac:dyDescent="0.35">
      <c r="A1019" s="5" t="s">
        <v>206</v>
      </c>
      <c r="B1019" s="5" t="s">
        <v>207</v>
      </c>
      <c r="C1019" s="5" t="s">
        <v>208</v>
      </c>
      <c r="D1019" s="5" t="s">
        <v>34</v>
      </c>
      <c r="E1019" s="5" t="s">
        <v>209</v>
      </c>
      <c r="F1019" s="5" t="s">
        <v>210</v>
      </c>
      <c r="G1019" s="5" t="s">
        <v>211</v>
      </c>
      <c r="H1019" s="5" t="s">
        <v>212</v>
      </c>
      <c r="I1019" s="5" t="s">
        <v>213</v>
      </c>
      <c r="J1019" s="5">
        <v>17.380239</v>
      </c>
      <c r="K1019" s="5">
        <v>-96.160120000000006</v>
      </c>
      <c r="L1019" s="5" t="str">
        <f>HYPERLINK("https://maps.google.com/?q=17.380239,-96.160120000000006", "🔗 Ver Mapa")</f>
        <v>🔗 Ver Mapa</v>
      </c>
    </row>
    <row r="1020" spans="1:12" ht="43.5" x14ac:dyDescent="0.35">
      <c r="A1020" s="6" t="s">
        <v>206</v>
      </c>
      <c r="B1020" s="6" t="s">
        <v>207</v>
      </c>
      <c r="C1020" s="6" t="s">
        <v>208</v>
      </c>
      <c r="D1020" s="6" t="s">
        <v>34</v>
      </c>
      <c r="E1020" s="6" t="s">
        <v>209</v>
      </c>
      <c r="F1020" s="6" t="s">
        <v>210</v>
      </c>
      <c r="G1020" s="6" t="s">
        <v>211</v>
      </c>
      <c r="H1020" s="6" t="s">
        <v>212</v>
      </c>
      <c r="I1020" s="6" t="s">
        <v>213</v>
      </c>
      <c r="J1020" s="6">
        <v>17.380243</v>
      </c>
      <c r="K1020" s="6">
        <v>-96.160013000000006</v>
      </c>
      <c r="L1020" s="6" t="str">
        <f>HYPERLINK("https://maps.google.com/?q=17.380243,-96.160013000000006", "🔗 Ver Mapa")</f>
        <v>🔗 Ver Mapa</v>
      </c>
    </row>
    <row r="1021" spans="1:12" ht="43.5" x14ac:dyDescent="0.35">
      <c r="A1021" s="5" t="s">
        <v>206</v>
      </c>
      <c r="B1021" s="5" t="s">
        <v>207</v>
      </c>
      <c r="C1021" s="5" t="s">
        <v>208</v>
      </c>
      <c r="D1021" s="5" t="s">
        <v>34</v>
      </c>
      <c r="E1021" s="5" t="s">
        <v>209</v>
      </c>
      <c r="F1021" s="5" t="s">
        <v>210</v>
      </c>
      <c r="G1021" s="5" t="s">
        <v>211</v>
      </c>
      <c r="H1021" s="5" t="s">
        <v>212</v>
      </c>
      <c r="I1021" s="5" t="s">
        <v>213</v>
      </c>
      <c r="J1021" s="5">
        <v>17.380244999999999</v>
      </c>
      <c r="K1021" s="5">
        <v>-96.161897999999994</v>
      </c>
      <c r="L1021" s="5" t="str">
        <f>HYPERLINK("https://maps.google.com/?q=17.380245,-96.161897999999994", "🔗 Ver Mapa")</f>
        <v>🔗 Ver Mapa</v>
      </c>
    </row>
    <row r="1022" spans="1:12" ht="43.5" x14ac:dyDescent="0.35">
      <c r="A1022" s="6" t="s">
        <v>206</v>
      </c>
      <c r="B1022" s="6" t="s">
        <v>207</v>
      </c>
      <c r="C1022" s="6" t="s">
        <v>208</v>
      </c>
      <c r="D1022" s="6" t="s">
        <v>34</v>
      </c>
      <c r="E1022" s="6" t="s">
        <v>209</v>
      </c>
      <c r="F1022" s="6" t="s">
        <v>210</v>
      </c>
      <c r="G1022" s="6" t="s">
        <v>211</v>
      </c>
      <c r="H1022" s="6" t="s">
        <v>212</v>
      </c>
      <c r="I1022" s="6" t="s">
        <v>213</v>
      </c>
      <c r="J1022" s="6">
        <v>17.380282000000001</v>
      </c>
      <c r="K1022" s="6">
        <v>-96.159959999999998</v>
      </c>
      <c r="L1022" s="6" t="str">
        <f>HYPERLINK("https://maps.google.com/?q=17.380282,-96.159959999999998", "🔗 Ver Mapa")</f>
        <v>🔗 Ver Mapa</v>
      </c>
    </row>
    <row r="1023" spans="1:12" ht="43.5" x14ac:dyDescent="0.35">
      <c r="A1023" s="5" t="s">
        <v>206</v>
      </c>
      <c r="B1023" s="5" t="s">
        <v>207</v>
      </c>
      <c r="C1023" s="5" t="s">
        <v>208</v>
      </c>
      <c r="D1023" s="5" t="s">
        <v>34</v>
      </c>
      <c r="E1023" s="5" t="s">
        <v>209</v>
      </c>
      <c r="F1023" s="5" t="s">
        <v>210</v>
      </c>
      <c r="G1023" s="5" t="s">
        <v>211</v>
      </c>
      <c r="H1023" s="5" t="s">
        <v>212</v>
      </c>
      <c r="I1023" s="5" t="s">
        <v>213</v>
      </c>
      <c r="J1023" s="5">
        <v>17.380288</v>
      </c>
      <c r="K1023" s="5">
        <v>-96.159778000000003</v>
      </c>
      <c r="L1023" s="5" t="str">
        <f>HYPERLINK("https://maps.google.com/?q=17.380288,-96.159778000000003", "🔗 Ver Mapa")</f>
        <v>🔗 Ver Mapa</v>
      </c>
    </row>
    <row r="1024" spans="1:12" ht="43.5" x14ac:dyDescent="0.35">
      <c r="A1024" s="6" t="s">
        <v>206</v>
      </c>
      <c r="B1024" s="6" t="s">
        <v>207</v>
      </c>
      <c r="C1024" s="6" t="s">
        <v>208</v>
      </c>
      <c r="D1024" s="6" t="s">
        <v>34</v>
      </c>
      <c r="E1024" s="6" t="s">
        <v>209</v>
      </c>
      <c r="F1024" s="6" t="s">
        <v>210</v>
      </c>
      <c r="G1024" s="6" t="s">
        <v>211</v>
      </c>
      <c r="H1024" s="6" t="s">
        <v>212</v>
      </c>
      <c r="I1024" s="6" t="s">
        <v>213</v>
      </c>
      <c r="J1024" s="6">
        <v>17.380296000000001</v>
      </c>
      <c r="K1024" s="6">
        <v>-96.162762999999998</v>
      </c>
      <c r="L1024" s="6" t="str">
        <f>HYPERLINK("https://maps.google.com/?q=17.380296,-96.162762999999998", "🔗 Ver Mapa")</f>
        <v>🔗 Ver Mapa</v>
      </c>
    </row>
    <row r="1025" spans="1:12" ht="43.5" x14ac:dyDescent="0.35">
      <c r="A1025" s="5" t="s">
        <v>206</v>
      </c>
      <c r="B1025" s="5" t="s">
        <v>207</v>
      </c>
      <c r="C1025" s="5" t="s">
        <v>208</v>
      </c>
      <c r="D1025" s="5" t="s">
        <v>34</v>
      </c>
      <c r="E1025" s="5" t="s">
        <v>209</v>
      </c>
      <c r="F1025" s="5" t="s">
        <v>210</v>
      </c>
      <c r="G1025" s="5" t="s">
        <v>211</v>
      </c>
      <c r="H1025" s="5" t="s">
        <v>212</v>
      </c>
      <c r="I1025" s="5" t="s">
        <v>213</v>
      </c>
      <c r="J1025" s="5">
        <v>17.380302</v>
      </c>
      <c r="K1025" s="5">
        <v>-96.159882999999994</v>
      </c>
      <c r="L1025" s="5" t="str">
        <f>HYPERLINK("https://maps.google.com/?q=17.380302,-96.159882999999994", "🔗 Ver Mapa")</f>
        <v>🔗 Ver Mapa</v>
      </c>
    </row>
    <row r="1026" spans="1:12" ht="43.5" x14ac:dyDescent="0.35">
      <c r="A1026" s="6" t="s">
        <v>206</v>
      </c>
      <c r="B1026" s="6" t="s">
        <v>207</v>
      </c>
      <c r="C1026" s="6" t="s">
        <v>208</v>
      </c>
      <c r="D1026" s="6" t="s">
        <v>34</v>
      </c>
      <c r="E1026" s="6" t="s">
        <v>209</v>
      </c>
      <c r="F1026" s="6" t="s">
        <v>210</v>
      </c>
      <c r="G1026" s="6" t="s">
        <v>211</v>
      </c>
      <c r="H1026" s="6" t="s">
        <v>212</v>
      </c>
      <c r="I1026" s="6" t="s">
        <v>213</v>
      </c>
      <c r="J1026" s="6">
        <v>17.380303999999999</v>
      </c>
      <c r="K1026" s="6">
        <v>-96.160231999999993</v>
      </c>
      <c r="L1026" s="6" t="str">
        <f>HYPERLINK("https://maps.google.com/?q=17.380304,-96.160231999999993", "🔗 Ver Mapa")</f>
        <v>🔗 Ver Mapa</v>
      </c>
    </row>
    <row r="1027" spans="1:12" ht="43.5" x14ac:dyDescent="0.35">
      <c r="A1027" s="5" t="s">
        <v>206</v>
      </c>
      <c r="B1027" s="5" t="s">
        <v>207</v>
      </c>
      <c r="C1027" s="5" t="s">
        <v>208</v>
      </c>
      <c r="D1027" s="5" t="s">
        <v>34</v>
      </c>
      <c r="E1027" s="5" t="s">
        <v>209</v>
      </c>
      <c r="F1027" s="5" t="s">
        <v>210</v>
      </c>
      <c r="G1027" s="5" t="s">
        <v>211</v>
      </c>
      <c r="H1027" s="5" t="s">
        <v>212</v>
      </c>
      <c r="I1027" s="5" t="s">
        <v>213</v>
      </c>
      <c r="J1027" s="5">
        <v>17.380322</v>
      </c>
      <c r="K1027" s="5">
        <v>-96.161349999999999</v>
      </c>
      <c r="L1027" s="5" t="str">
        <f>HYPERLINK("https://maps.google.com/?q=17.380322,-96.161349999999999", "🔗 Ver Mapa")</f>
        <v>🔗 Ver Mapa</v>
      </c>
    </row>
    <row r="1028" spans="1:12" ht="43.5" x14ac:dyDescent="0.35">
      <c r="A1028" s="6" t="s">
        <v>206</v>
      </c>
      <c r="B1028" s="6" t="s">
        <v>207</v>
      </c>
      <c r="C1028" s="6" t="s">
        <v>208</v>
      </c>
      <c r="D1028" s="6" t="s">
        <v>34</v>
      </c>
      <c r="E1028" s="6" t="s">
        <v>209</v>
      </c>
      <c r="F1028" s="6" t="s">
        <v>210</v>
      </c>
      <c r="G1028" s="6" t="s">
        <v>211</v>
      </c>
      <c r="H1028" s="6" t="s">
        <v>212</v>
      </c>
      <c r="I1028" s="6" t="s">
        <v>213</v>
      </c>
      <c r="J1028" s="6">
        <v>17.380337999999998</v>
      </c>
      <c r="K1028" s="6">
        <v>-96.162914999999998</v>
      </c>
      <c r="L1028" s="6" t="str">
        <f>HYPERLINK("https://maps.google.com/?q=17.380338,-96.162914999999998", "🔗 Ver Mapa")</f>
        <v>🔗 Ver Mapa</v>
      </c>
    </row>
    <row r="1029" spans="1:12" ht="43.5" x14ac:dyDescent="0.35">
      <c r="A1029" s="5" t="s">
        <v>206</v>
      </c>
      <c r="B1029" s="5" t="s">
        <v>207</v>
      </c>
      <c r="C1029" s="5" t="s">
        <v>208</v>
      </c>
      <c r="D1029" s="5" t="s">
        <v>34</v>
      </c>
      <c r="E1029" s="5" t="s">
        <v>209</v>
      </c>
      <c r="F1029" s="5" t="s">
        <v>210</v>
      </c>
      <c r="G1029" s="5" t="s">
        <v>211</v>
      </c>
      <c r="H1029" s="5" t="s">
        <v>212</v>
      </c>
      <c r="I1029" s="5" t="s">
        <v>213</v>
      </c>
      <c r="J1029" s="5">
        <v>17.38034</v>
      </c>
      <c r="K1029" s="5">
        <v>-96.160368000000005</v>
      </c>
      <c r="L1029" s="5" t="str">
        <f>HYPERLINK("https://maps.google.com/?q=17.38034,-96.160368000000005", "🔗 Ver Mapa")</f>
        <v>🔗 Ver Mapa</v>
      </c>
    </row>
    <row r="1030" spans="1:12" ht="43.5" x14ac:dyDescent="0.35">
      <c r="A1030" s="6" t="s">
        <v>206</v>
      </c>
      <c r="B1030" s="6" t="s">
        <v>207</v>
      </c>
      <c r="C1030" s="6" t="s">
        <v>208</v>
      </c>
      <c r="D1030" s="6" t="s">
        <v>34</v>
      </c>
      <c r="E1030" s="6" t="s">
        <v>209</v>
      </c>
      <c r="F1030" s="6" t="s">
        <v>210</v>
      </c>
      <c r="G1030" s="6" t="s">
        <v>211</v>
      </c>
      <c r="H1030" s="6" t="s">
        <v>212</v>
      </c>
      <c r="I1030" s="6" t="s">
        <v>213</v>
      </c>
      <c r="J1030" s="6">
        <v>17.380344000000001</v>
      </c>
      <c r="K1030" s="6">
        <v>-96.161107000000001</v>
      </c>
      <c r="L1030" s="6" t="str">
        <f>HYPERLINK("https://maps.google.com/?q=17.380344,-96.161107000000001", "🔗 Ver Mapa")</f>
        <v>🔗 Ver Mapa</v>
      </c>
    </row>
    <row r="1031" spans="1:12" ht="43.5" x14ac:dyDescent="0.35">
      <c r="A1031" s="5" t="s">
        <v>206</v>
      </c>
      <c r="B1031" s="5" t="s">
        <v>207</v>
      </c>
      <c r="C1031" s="5" t="s">
        <v>208</v>
      </c>
      <c r="D1031" s="5" t="s">
        <v>34</v>
      </c>
      <c r="E1031" s="5" t="s">
        <v>209</v>
      </c>
      <c r="F1031" s="5" t="s">
        <v>210</v>
      </c>
      <c r="G1031" s="5" t="s">
        <v>211</v>
      </c>
      <c r="H1031" s="5" t="s">
        <v>212</v>
      </c>
      <c r="I1031" s="5" t="s">
        <v>213</v>
      </c>
      <c r="J1031" s="5">
        <v>17.380352999999999</v>
      </c>
      <c r="K1031" s="5">
        <v>-96.163336000000001</v>
      </c>
      <c r="L1031" s="5" t="str">
        <f>HYPERLINK("https://maps.google.com/?q=17.380353,-96.163336000000001", "🔗 Ver Mapa")</f>
        <v>🔗 Ver Mapa</v>
      </c>
    </row>
    <row r="1032" spans="1:12" ht="43.5" x14ac:dyDescent="0.35">
      <c r="A1032" s="6" t="s">
        <v>206</v>
      </c>
      <c r="B1032" s="6" t="s">
        <v>207</v>
      </c>
      <c r="C1032" s="6" t="s">
        <v>208</v>
      </c>
      <c r="D1032" s="6" t="s">
        <v>34</v>
      </c>
      <c r="E1032" s="6" t="s">
        <v>209</v>
      </c>
      <c r="F1032" s="6" t="s">
        <v>210</v>
      </c>
      <c r="G1032" s="6" t="s">
        <v>211</v>
      </c>
      <c r="H1032" s="6" t="s">
        <v>212</v>
      </c>
      <c r="I1032" s="6" t="s">
        <v>213</v>
      </c>
      <c r="J1032" s="6">
        <v>17.380383999999999</v>
      </c>
      <c r="K1032" s="6">
        <v>-96.163616000000005</v>
      </c>
      <c r="L1032" s="6" t="str">
        <f>HYPERLINK("https://maps.google.com/?q=17.380384,-96.163616000000005", "🔗 Ver Mapa")</f>
        <v>🔗 Ver Mapa</v>
      </c>
    </row>
    <row r="1033" spans="1:12" ht="43.5" x14ac:dyDescent="0.35">
      <c r="A1033" s="5" t="s">
        <v>206</v>
      </c>
      <c r="B1033" s="5" t="s">
        <v>207</v>
      </c>
      <c r="C1033" s="5" t="s">
        <v>208</v>
      </c>
      <c r="D1033" s="5" t="s">
        <v>34</v>
      </c>
      <c r="E1033" s="5" t="s">
        <v>209</v>
      </c>
      <c r="F1033" s="5" t="s">
        <v>210</v>
      </c>
      <c r="G1033" s="5" t="s">
        <v>211</v>
      </c>
      <c r="H1033" s="5" t="s">
        <v>212</v>
      </c>
      <c r="I1033" s="5" t="s">
        <v>213</v>
      </c>
      <c r="J1033" s="5">
        <v>17.380386000000001</v>
      </c>
      <c r="K1033" s="5">
        <v>-96.161805999999999</v>
      </c>
      <c r="L1033" s="5" t="str">
        <f>HYPERLINK("https://maps.google.com/?q=17.380386,-96.161805999999999", "🔗 Ver Mapa")</f>
        <v>🔗 Ver Mapa</v>
      </c>
    </row>
    <row r="1034" spans="1:12" ht="43.5" x14ac:dyDescent="0.35">
      <c r="A1034" s="6" t="s">
        <v>206</v>
      </c>
      <c r="B1034" s="6" t="s">
        <v>207</v>
      </c>
      <c r="C1034" s="6" t="s">
        <v>208</v>
      </c>
      <c r="D1034" s="6" t="s">
        <v>34</v>
      </c>
      <c r="E1034" s="6" t="s">
        <v>209</v>
      </c>
      <c r="F1034" s="6" t="s">
        <v>210</v>
      </c>
      <c r="G1034" s="6" t="s">
        <v>211</v>
      </c>
      <c r="H1034" s="6" t="s">
        <v>212</v>
      </c>
      <c r="I1034" s="6" t="s">
        <v>213</v>
      </c>
      <c r="J1034" s="6">
        <v>17.380389999999998</v>
      </c>
      <c r="K1034" s="6">
        <v>-96.162469999999999</v>
      </c>
      <c r="L1034" s="6" t="str">
        <f>HYPERLINK("https://maps.google.com/?q=17.38039,-96.162469999999999", "🔗 Ver Mapa")</f>
        <v>🔗 Ver Mapa</v>
      </c>
    </row>
    <row r="1035" spans="1:12" ht="43.5" x14ac:dyDescent="0.35">
      <c r="A1035" s="5" t="s">
        <v>206</v>
      </c>
      <c r="B1035" s="5" t="s">
        <v>207</v>
      </c>
      <c r="C1035" s="5" t="s">
        <v>208</v>
      </c>
      <c r="D1035" s="5" t="s">
        <v>34</v>
      </c>
      <c r="E1035" s="5" t="s">
        <v>209</v>
      </c>
      <c r="F1035" s="5" t="s">
        <v>210</v>
      </c>
      <c r="G1035" s="5" t="s">
        <v>211</v>
      </c>
      <c r="H1035" s="5" t="s">
        <v>212</v>
      </c>
      <c r="I1035" s="5" t="s">
        <v>213</v>
      </c>
      <c r="J1035" s="5">
        <v>17.380396000000001</v>
      </c>
      <c r="K1035" s="5">
        <v>-96.160346000000004</v>
      </c>
      <c r="L1035" s="5" t="str">
        <f>HYPERLINK("https://maps.google.com/?q=17.380396,-96.160346000000004", "🔗 Ver Mapa")</f>
        <v>🔗 Ver Mapa</v>
      </c>
    </row>
    <row r="1036" spans="1:12" ht="43.5" x14ac:dyDescent="0.35">
      <c r="A1036" s="6" t="s">
        <v>206</v>
      </c>
      <c r="B1036" s="6" t="s">
        <v>207</v>
      </c>
      <c r="C1036" s="6" t="s">
        <v>208</v>
      </c>
      <c r="D1036" s="6" t="s">
        <v>34</v>
      </c>
      <c r="E1036" s="6" t="s">
        <v>209</v>
      </c>
      <c r="F1036" s="6" t="s">
        <v>210</v>
      </c>
      <c r="G1036" s="6" t="s">
        <v>211</v>
      </c>
      <c r="H1036" s="6" t="s">
        <v>212</v>
      </c>
      <c r="I1036" s="6" t="s">
        <v>213</v>
      </c>
      <c r="J1036" s="6">
        <v>17.380399000000001</v>
      </c>
      <c r="K1036" s="6">
        <v>-96.161294999999996</v>
      </c>
      <c r="L1036" s="6" t="str">
        <f>HYPERLINK("https://maps.google.com/?q=17.380399,-96.161294999999996", "🔗 Ver Mapa")</f>
        <v>🔗 Ver Mapa</v>
      </c>
    </row>
    <row r="1037" spans="1:12" ht="43.5" x14ac:dyDescent="0.35">
      <c r="A1037" s="5" t="s">
        <v>206</v>
      </c>
      <c r="B1037" s="5" t="s">
        <v>207</v>
      </c>
      <c r="C1037" s="5" t="s">
        <v>208</v>
      </c>
      <c r="D1037" s="5" t="s">
        <v>34</v>
      </c>
      <c r="E1037" s="5" t="s">
        <v>209</v>
      </c>
      <c r="F1037" s="5" t="s">
        <v>210</v>
      </c>
      <c r="G1037" s="5" t="s">
        <v>211</v>
      </c>
      <c r="H1037" s="5" t="s">
        <v>212</v>
      </c>
      <c r="I1037" s="5" t="s">
        <v>213</v>
      </c>
      <c r="J1037" s="5">
        <v>17.380406000000001</v>
      </c>
      <c r="K1037" s="5">
        <v>-96.161299999999997</v>
      </c>
      <c r="L1037" s="5" t="str">
        <f>HYPERLINK("https://maps.google.com/?q=17.380406,-96.161299999999997", "🔗 Ver Mapa")</f>
        <v>🔗 Ver Mapa</v>
      </c>
    </row>
    <row r="1038" spans="1:12" ht="43.5" x14ac:dyDescent="0.35">
      <c r="A1038" s="6" t="s">
        <v>206</v>
      </c>
      <c r="B1038" s="6" t="s">
        <v>207</v>
      </c>
      <c r="C1038" s="6" t="s">
        <v>208</v>
      </c>
      <c r="D1038" s="6" t="s">
        <v>34</v>
      </c>
      <c r="E1038" s="6" t="s">
        <v>209</v>
      </c>
      <c r="F1038" s="6" t="s">
        <v>210</v>
      </c>
      <c r="G1038" s="6" t="s">
        <v>211</v>
      </c>
      <c r="H1038" s="6" t="s">
        <v>212</v>
      </c>
      <c r="I1038" s="6" t="s">
        <v>213</v>
      </c>
      <c r="J1038" s="6">
        <v>17.380410000000001</v>
      </c>
      <c r="K1038" s="6">
        <v>-96.162929000000005</v>
      </c>
      <c r="L1038" s="6" t="str">
        <f>HYPERLINK("https://maps.google.com/?q=17.38041,-96.162929000000005", "🔗 Ver Mapa")</f>
        <v>🔗 Ver Mapa</v>
      </c>
    </row>
    <row r="1039" spans="1:12" ht="43.5" x14ac:dyDescent="0.35">
      <c r="A1039" s="5" t="s">
        <v>206</v>
      </c>
      <c r="B1039" s="5" t="s">
        <v>207</v>
      </c>
      <c r="C1039" s="5" t="s">
        <v>208</v>
      </c>
      <c r="D1039" s="5" t="s">
        <v>34</v>
      </c>
      <c r="E1039" s="5" t="s">
        <v>209</v>
      </c>
      <c r="F1039" s="5" t="s">
        <v>210</v>
      </c>
      <c r="G1039" s="5" t="s">
        <v>211</v>
      </c>
      <c r="H1039" s="5" t="s">
        <v>212</v>
      </c>
      <c r="I1039" s="5" t="s">
        <v>213</v>
      </c>
      <c r="J1039" s="5">
        <v>17.380421999999999</v>
      </c>
      <c r="K1039" s="5">
        <v>-96.163747000000001</v>
      </c>
      <c r="L1039" s="5" t="str">
        <f>HYPERLINK("https://maps.google.com/?q=17.380422,-96.163747000000001", "🔗 Ver Mapa")</f>
        <v>🔗 Ver Mapa</v>
      </c>
    </row>
    <row r="1040" spans="1:12" ht="43.5" x14ac:dyDescent="0.35">
      <c r="A1040" s="6" t="s">
        <v>206</v>
      </c>
      <c r="B1040" s="6" t="s">
        <v>207</v>
      </c>
      <c r="C1040" s="6" t="s">
        <v>208</v>
      </c>
      <c r="D1040" s="6" t="s">
        <v>34</v>
      </c>
      <c r="E1040" s="6" t="s">
        <v>209</v>
      </c>
      <c r="F1040" s="6" t="s">
        <v>210</v>
      </c>
      <c r="G1040" s="6" t="s">
        <v>211</v>
      </c>
      <c r="H1040" s="6" t="s">
        <v>212</v>
      </c>
      <c r="I1040" s="6" t="s">
        <v>213</v>
      </c>
      <c r="J1040" s="6">
        <v>17.38045</v>
      </c>
      <c r="K1040" s="6">
        <v>-96.161784999999995</v>
      </c>
      <c r="L1040" s="6" t="str">
        <f>HYPERLINK("https://maps.google.com/?q=17.38045,-96.161784999999995", "🔗 Ver Mapa")</f>
        <v>🔗 Ver Mapa</v>
      </c>
    </row>
    <row r="1041" spans="1:12" ht="43.5" x14ac:dyDescent="0.35">
      <c r="A1041" s="5" t="s">
        <v>206</v>
      </c>
      <c r="B1041" s="5" t="s">
        <v>207</v>
      </c>
      <c r="C1041" s="5" t="s">
        <v>208</v>
      </c>
      <c r="D1041" s="5" t="s">
        <v>34</v>
      </c>
      <c r="E1041" s="5" t="s">
        <v>209</v>
      </c>
      <c r="F1041" s="5" t="s">
        <v>210</v>
      </c>
      <c r="G1041" s="5" t="s">
        <v>211</v>
      </c>
      <c r="H1041" s="5" t="s">
        <v>212</v>
      </c>
      <c r="I1041" s="5" t="s">
        <v>213</v>
      </c>
      <c r="J1041" s="5">
        <v>17.380452999999999</v>
      </c>
      <c r="K1041" s="5">
        <v>-96.161738</v>
      </c>
      <c r="L1041" s="5" t="str">
        <f>HYPERLINK("https://maps.google.com/?q=17.380453,-96.161738", "🔗 Ver Mapa")</f>
        <v>🔗 Ver Mapa</v>
      </c>
    </row>
    <row r="1042" spans="1:12" ht="43.5" x14ac:dyDescent="0.35">
      <c r="A1042" s="6" t="s">
        <v>206</v>
      </c>
      <c r="B1042" s="6" t="s">
        <v>207</v>
      </c>
      <c r="C1042" s="6" t="s">
        <v>208</v>
      </c>
      <c r="D1042" s="6" t="s">
        <v>34</v>
      </c>
      <c r="E1042" s="6" t="s">
        <v>209</v>
      </c>
      <c r="F1042" s="6" t="s">
        <v>210</v>
      </c>
      <c r="G1042" s="6" t="s">
        <v>211</v>
      </c>
      <c r="H1042" s="6" t="s">
        <v>212</v>
      </c>
      <c r="I1042" s="6" t="s">
        <v>213</v>
      </c>
      <c r="J1042" s="6">
        <v>17.380458999999998</v>
      </c>
      <c r="K1042" s="6">
        <v>-96.160492000000005</v>
      </c>
      <c r="L1042" s="6" t="str">
        <f>HYPERLINK("https://maps.google.com/?q=17.380459,-96.160492000000005", "🔗 Ver Mapa")</f>
        <v>🔗 Ver Mapa</v>
      </c>
    </row>
    <row r="1043" spans="1:12" ht="43.5" x14ac:dyDescent="0.35">
      <c r="A1043" s="5" t="s">
        <v>206</v>
      </c>
      <c r="B1043" s="5" t="s">
        <v>207</v>
      </c>
      <c r="C1043" s="5" t="s">
        <v>208</v>
      </c>
      <c r="D1043" s="5" t="s">
        <v>34</v>
      </c>
      <c r="E1043" s="5" t="s">
        <v>209</v>
      </c>
      <c r="F1043" s="5" t="s">
        <v>210</v>
      </c>
      <c r="G1043" s="5" t="s">
        <v>211</v>
      </c>
      <c r="H1043" s="5" t="s">
        <v>212</v>
      </c>
      <c r="I1043" s="5" t="s">
        <v>213</v>
      </c>
      <c r="J1043" s="5">
        <v>17.380462999999999</v>
      </c>
      <c r="K1043" s="5">
        <v>-96.161264000000003</v>
      </c>
      <c r="L1043" s="5" t="str">
        <f>HYPERLINK("https://maps.google.com/?q=17.380463,-96.161264000000003", "🔗 Ver Mapa")</f>
        <v>🔗 Ver Mapa</v>
      </c>
    </row>
    <row r="1044" spans="1:12" ht="43.5" x14ac:dyDescent="0.35">
      <c r="A1044" s="6" t="s">
        <v>206</v>
      </c>
      <c r="B1044" s="6" t="s">
        <v>207</v>
      </c>
      <c r="C1044" s="6" t="s">
        <v>208</v>
      </c>
      <c r="D1044" s="6" t="s">
        <v>34</v>
      </c>
      <c r="E1044" s="6" t="s">
        <v>209</v>
      </c>
      <c r="F1044" s="6" t="s">
        <v>210</v>
      </c>
      <c r="G1044" s="6" t="s">
        <v>211</v>
      </c>
      <c r="H1044" s="6" t="s">
        <v>212</v>
      </c>
      <c r="I1044" s="6" t="s">
        <v>213</v>
      </c>
      <c r="J1044" s="6">
        <v>17.380462999999999</v>
      </c>
      <c r="K1044" s="6">
        <v>-96.161878000000002</v>
      </c>
      <c r="L1044" s="6" t="str">
        <f>HYPERLINK("https://maps.google.com/?q=17.380463,-96.161878000000002", "🔗 Ver Mapa")</f>
        <v>🔗 Ver Mapa</v>
      </c>
    </row>
    <row r="1045" spans="1:12" ht="43.5" x14ac:dyDescent="0.35">
      <c r="A1045" s="5" t="s">
        <v>206</v>
      </c>
      <c r="B1045" s="5" t="s">
        <v>207</v>
      </c>
      <c r="C1045" s="5" t="s">
        <v>208</v>
      </c>
      <c r="D1045" s="5" t="s">
        <v>34</v>
      </c>
      <c r="E1045" s="5" t="s">
        <v>209</v>
      </c>
      <c r="F1045" s="5" t="s">
        <v>210</v>
      </c>
      <c r="G1045" s="5" t="s">
        <v>211</v>
      </c>
      <c r="H1045" s="5" t="s">
        <v>212</v>
      </c>
      <c r="I1045" s="5" t="s">
        <v>213</v>
      </c>
      <c r="J1045" s="5">
        <v>17.380472999999999</v>
      </c>
      <c r="K1045" s="5">
        <v>-96.161529999999999</v>
      </c>
      <c r="L1045" s="5" t="str">
        <f>HYPERLINK("https://maps.google.com/?q=17.380473,-96.161529999999999", "🔗 Ver Mapa")</f>
        <v>🔗 Ver Mapa</v>
      </c>
    </row>
    <row r="1046" spans="1:12" ht="43.5" x14ac:dyDescent="0.35">
      <c r="A1046" s="6" t="s">
        <v>206</v>
      </c>
      <c r="B1046" s="6" t="s">
        <v>207</v>
      </c>
      <c r="C1046" s="6" t="s">
        <v>208</v>
      </c>
      <c r="D1046" s="6" t="s">
        <v>34</v>
      </c>
      <c r="E1046" s="6" t="s">
        <v>209</v>
      </c>
      <c r="F1046" s="6" t="s">
        <v>210</v>
      </c>
      <c r="G1046" s="6" t="s">
        <v>211</v>
      </c>
      <c r="H1046" s="6" t="s">
        <v>212</v>
      </c>
      <c r="I1046" s="6" t="s">
        <v>213</v>
      </c>
      <c r="J1046" s="6">
        <v>17.380488</v>
      </c>
      <c r="K1046" s="6">
        <v>-96.161711999999994</v>
      </c>
      <c r="L1046" s="6" t="str">
        <f>HYPERLINK("https://maps.google.com/?q=17.380488,-96.161711999999994", "🔗 Ver Mapa")</f>
        <v>🔗 Ver Mapa</v>
      </c>
    </row>
    <row r="1047" spans="1:12" ht="43.5" x14ac:dyDescent="0.35">
      <c r="A1047" s="5" t="s">
        <v>206</v>
      </c>
      <c r="B1047" s="5" t="s">
        <v>207</v>
      </c>
      <c r="C1047" s="5" t="s">
        <v>208</v>
      </c>
      <c r="D1047" s="5" t="s">
        <v>34</v>
      </c>
      <c r="E1047" s="5" t="s">
        <v>209</v>
      </c>
      <c r="F1047" s="5" t="s">
        <v>210</v>
      </c>
      <c r="G1047" s="5" t="s">
        <v>211</v>
      </c>
      <c r="H1047" s="5" t="s">
        <v>212</v>
      </c>
      <c r="I1047" s="5" t="s">
        <v>213</v>
      </c>
      <c r="J1047" s="5">
        <v>17.380490999999999</v>
      </c>
      <c r="K1047" s="5">
        <v>-96.161867999999998</v>
      </c>
      <c r="L1047" s="5" t="str">
        <f>HYPERLINK("https://maps.google.com/?q=17.380491,-96.161867999999998", "🔗 Ver Mapa")</f>
        <v>🔗 Ver Mapa</v>
      </c>
    </row>
    <row r="1048" spans="1:12" ht="43.5" x14ac:dyDescent="0.35">
      <c r="A1048" s="6" t="s">
        <v>206</v>
      </c>
      <c r="B1048" s="6" t="s">
        <v>207</v>
      </c>
      <c r="C1048" s="6" t="s">
        <v>208</v>
      </c>
      <c r="D1048" s="6" t="s">
        <v>34</v>
      </c>
      <c r="E1048" s="6" t="s">
        <v>209</v>
      </c>
      <c r="F1048" s="6" t="s">
        <v>210</v>
      </c>
      <c r="G1048" s="6" t="s">
        <v>211</v>
      </c>
      <c r="H1048" s="6" t="s">
        <v>212</v>
      </c>
      <c r="I1048" s="6" t="s">
        <v>213</v>
      </c>
      <c r="J1048" s="6">
        <v>17.380503999999998</v>
      </c>
      <c r="K1048" s="6">
        <v>-96.163809999999998</v>
      </c>
      <c r="L1048" s="6" t="str">
        <f>HYPERLINK("https://maps.google.com/?q=17.380504,-96.163809999999998", "🔗 Ver Mapa")</f>
        <v>🔗 Ver Mapa</v>
      </c>
    </row>
    <row r="1049" spans="1:12" ht="43.5" x14ac:dyDescent="0.35">
      <c r="A1049" s="5" t="s">
        <v>206</v>
      </c>
      <c r="B1049" s="5" t="s">
        <v>207</v>
      </c>
      <c r="C1049" s="5" t="s">
        <v>208</v>
      </c>
      <c r="D1049" s="5" t="s">
        <v>34</v>
      </c>
      <c r="E1049" s="5" t="s">
        <v>209</v>
      </c>
      <c r="F1049" s="5" t="s">
        <v>210</v>
      </c>
      <c r="G1049" s="5" t="s">
        <v>211</v>
      </c>
      <c r="H1049" s="5" t="s">
        <v>212</v>
      </c>
      <c r="I1049" s="5" t="s">
        <v>213</v>
      </c>
      <c r="J1049" s="5">
        <v>17.380531000000001</v>
      </c>
      <c r="K1049" s="5">
        <v>-96.162160999999998</v>
      </c>
      <c r="L1049" s="5" t="str">
        <f>HYPERLINK("https://maps.google.com/?q=17.380531,-96.162160999999998", "🔗 Ver Mapa")</f>
        <v>🔗 Ver Mapa</v>
      </c>
    </row>
    <row r="1050" spans="1:12" ht="43.5" x14ac:dyDescent="0.35">
      <c r="A1050" s="6" t="s">
        <v>206</v>
      </c>
      <c r="B1050" s="6" t="s">
        <v>207</v>
      </c>
      <c r="C1050" s="6" t="s">
        <v>208</v>
      </c>
      <c r="D1050" s="6" t="s">
        <v>34</v>
      </c>
      <c r="E1050" s="6" t="s">
        <v>209</v>
      </c>
      <c r="F1050" s="6" t="s">
        <v>210</v>
      </c>
      <c r="G1050" s="6" t="s">
        <v>211</v>
      </c>
      <c r="H1050" s="6" t="s">
        <v>212</v>
      </c>
      <c r="I1050" s="6" t="s">
        <v>213</v>
      </c>
      <c r="J1050" s="6">
        <v>17.380531999999999</v>
      </c>
      <c r="K1050" s="6">
        <v>-96.161726999999999</v>
      </c>
      <c r="L1050" s="6" t="str">
        <f>HYPERLINK("https://maps.google.com/?q=17.380532,-96.161726999999999", "🔗 Ver Mapa")</f>
        <v>🔗 Ver Mapa</v>
      </c>
    </row>
    <row r="1051" spans="1:12" ht="43.5" x14ac:dyDescent="0.35">
      <c r="A1051" s="5" t="s">
        <v>206</v>
      </c>
      <c r="B1051" s="5" t="s">
        <v>207</v>
      </c>
      <c r="C1051" s="5" t="s">
        <v>208</v>
      </c>
      <c r="D1051" s="5" t="s">
        <v>34</v>
      </c>
      <c r="E1051" s="5" t="s">
        <v>209</v>
      </c>
      <c r="F1051" s="5" t="s">
        <v>210</v>
      </c>
      <c r="G1051" s="5" t="s">
        <v>211</v>
      </c>
      <c r="H1051" s="5" t="s">
        <v>212</v>
      </c>
      <c r="I1051" s="5" t="s">
        <v>213</v>
      </c>
      <c r="J1051" s="5">
        <v>17.380544</v>
      </c>
      <c r="K1051" s="5">
        <v>-96.160584</v>
      </c>
      <c r="L1051" s="5" t="str">
        <f>HYPERLINK("https://maps.google.com/?q=17.380544,-96.160584", "🔗 Ver Mapa")</f>
        <v>🔗 Ver Mapa</v>
      </c>
    </row>
    <row r="1052" spans="1:12" ht="43.5" x14ac:dyDescent="0.35">
      <c r="A1052" s="6" t="s">
        <v>206</v>
      </c>
      <c r="B1052" s="6" t="s">
        <v>207</v>
      </c>
      <c r="C1052" s="6" t="s">
        <v>208</v>
      </c>
      <c r="D1052" s="6" t="s">
        <v>34</v>
      </c>
      <c r="E1052" s="6" t="s">
        <v>209</v>
      </c>
      <c r="F1052" s="6" t="s">
        <v>210</v>
      </c>
      <c r="G1052" s="6" t="s">
        <v>211</v>
      </c>
      <c r="H1052" s="6" t="s">
        <v>212</v>
      </c>
      <c r="I1052" s="6" t="s">
        <v>213</v>
      </c>
      <c r="J1052" s="6">
        <v>17.380569000000001</v>
      </c>
      <c r="K1052" s="6">
        <v>-96.161732999999998</v>
      </c>
      <c r="L1052" s="6" t="str">
        <f>HYPERLINK("https://maps.google.com/?q=17.380569,-96.161732999999998", "🔗 Ver Mapa")</f>
        <v>🔗 Ver Mapa</v>
      </c>
    </row>
    <row r="1053" spans="1:12" ht="43.5" x14ac:dyDescent="0.35">
      <c r="A1053" s="5" t="s">
        <v>206</v>
      </c>
      <c r="B1053" s="5" t="s">
        <v>207</v>
      </c>
      <c r="C1053" s="5" t="s">
        <v>208</v>
      </c>
      <c r="D1053" s="5" t="s">
        <v>34</v>
      </c>
      <c r="E1053" s="5" t="s">
        <v>209</v>
      </c>
      <c r="F1053" s="5" t="s">
        <v>210</v>
      </c>
      <c r="G1053" s="5" t="s">
        <v>211</v>
      </c>
      <c r="H1053" s="5" t="s">
        <v>212</v>
      </c>
      <c r="I1053" s="5" t="s">
        <v>213</v>
      </c>
      <c r="J1053" s="5">
        <v>17.380583999999999</v>
      </c>
      <c r="K1053" s="5">
        <v>-96.160928999999996</v>
      </c>
      <c r="L1053" s="5" t="str">
        <f>HYPERLINK("https://maps.google.com/?q=17.380584,-96.160928999999996", "🔗 Ver Mapa")</f>
        <v>🔗 Ver Mapa</v>
      </c>
    </row>
    <row r="1054" spans="1:12" ht="43.5" x14ac:dyDescent="0.35">
      <c r="A1054" s="6" t="s">
        <v>206</v>
      </c>
      <c r="B1054" s="6" t="s">
        <v>207</v>
      </c>
      <c r="C1054" s="6" t="s">
        <v>208</v>
      </c>
      <c r="D1054" s="6" t="s">
        <v>34</v>
      </c>
      <c r="E1054" s="6" t="s">
        <v>209</v>
      </c>
      <c r="F1054" s="6" t="s">
        <v>210</v>
      </c>
      <c r="G1054" s="6" t="s">
        <v>211</v>
      </c>
      <c r="H1054" s="6" t="s">
        <v>212</v>
      </c>
      <c r="I1054" s="6" t="s">
        <v>213</v>
      </c>
      <c r="J1054" s="6">
        <v>17.380587999999999</v>
      </c>
      <c r="K1054" s="6">
        <v>-96.162301999999997</v>
      </c>
      <c r="L1054" s="6" t="str">
        <f>HYPERLINK("https://maps.google.com/?q=17.380588,-96.162301999999997", "🔗 Ver Mapa")</f>
        <v>🔗 Ver Mapa</v>
      </c>
    </row>
    <row r="1055" spans="1:12" ht="43.5" x14ac:dyDescent="0.35">
      <c r="A1055" s="5" t="s">
        <v>206</v>
      </c>
      <c r="B1055" s="5" t="s">
        <v>207</v>
      </c>
      <c r="C1055" s="5" t="s">
        <v>208</v>
      </c>
      <c r="D1055" s="5" t="s">
        <v>34</v>
      </c>
      <c r="E1055" s="5" t="s">
        <v>209</v>
      </c>
      <c r="F1055" s="5" t="s">
        <v>210</v>
      </c>
      <c r="G1055" s="5" t="s">
        <v>211</v>
      </c>
      <c r="H1055" s="5" t="s">
        <v>212</v>
      </c>
      <c r="I1055" s="5" t="s">
        <v>213</v>
      </c>
      <c r="J1055" s="5">
        <v>17.380597000000002</v>
      </c>
      <c r="K1055" s="5">
        <v>-96.162482999999995</v>
      </c>
      <c r="L1055" s="5" t="str">
        <f>HYPERLINK("https://maps.google.com/?q=17.380597,-96.162482999999995", "🔗 Ver Mapa")</f>
        <v>🔗 Ver Mapa</v>
      </c>
    </row>
    <row r="1056" spans="1:12" ht="43.5" x14ac:dyDescent="0.35">
      <c r="A1056" s="6" t="s">
        <v>206</v>
      </c>
      <c r="B1056" s="6" t="s">
        <v>207</v>
      </c>
      <c r="C1056" s="6" t="s">
        <v>208</v>
      </c>
      <c r="D1056" s="6" t="s">
        <v>34</v>
      </c>
      <c r="E1056" s="6" t="s">
        <v>209</v>
      </c>
      <c r="F1056" s="6" t="s">
        <v>210</v>
      </c>
      <c r="G1056" s="6" t="s">
        <v>211</v>
      </c>
      <c r="H1056" s="6" t="s">
        <v>212</v>
      </c>
      <c r="I1056" s="6" t="s">
        <v>213</v>
      </c>
      <c r="J1056" s="6">
        <v>17.380597000000002</v>
      </c>
      <c r="K1056" s="6">
        <v>-96.162693000000004</v>
      </c>
      <c r="L1056" s="6" t="str">
        <f>HYPERLINK("https://maps.google.com/?q=17.380597,-96.162693000000004", "🔗 Ver Mapa")</f>
        <v>🔗 Ver Mapa</v>
      </c>
    </row>
    <row r="1057" spans="1:12" ht="43.5" x14ac:dyDescent="0.35">
      <c r="A1057" s="5" t="s">
        <v>206</v>
      </c>
      <c r="B1057" s="5" t="s">
        <v>207</v>
      </c>
      <c r="C1057" s="5" t="s">
        <v>208</v>
      </c>
      <c r="D1057" s="5" t="s">
        <v>34</v>
      </c>
      <c r="E1057" s="5" t="s">
        <v>209</v>
      </c>
      <c r="F1057" s="5" t="s">
        <v>210</v>
      </c>
      <c r="G1057" s="5" t="s">
        <v>211</v>
      </c>
      <c r="H1057" s="5" t="s">
        <v>212</v>
      </c>
      <c r="I1057" s="5" t="s">
        <v>213</v>
      </c>
      <c r="J1057" s="5">
        <v>17.380597999999999</v>
      </c>
      <c r="K1057" s="5">
        <v>-96.163450999999995</v>
      </c>
      <c r="L1057" s="5" t="str">
        <f>HYPERLINK("https://maps.google.com/?q=17.380598,-96.163450999999995", "🔗 Ver Mapa")</f>
        <v>🔗 Ver Mapa</v>
      </c>
    </row>
    <row r="1058" spans="1:12" ht="43.5" x14ac:dyDescent="0.35">
      <c r="A1058" s="6" t="s">
        <v>206</v>
      </c>
      <c r="B1058" s="6" t="s">
        <v>207</v>
      </c>
      <c r="C1058" s="6" t="s">
        <v>208</v>
      </c>
      <c r="D1058" s="6" t="s">
        <v>34</v>
      </c>
      <c r="E1058" s="6" t="s">
        <v>209</v>
      </c>
      <c r="F1058" s="6" t="s">
        <v>210</v>
      </c>
      <c r="G1058" s="6" t="s">
        <v>211</v>
      </c>
      <c r="H1058" s="6" t="s">
        <v>212</v>
      </c>
      <c r="I1058" s="6" t="s">
        <v>213</v>
      </c>
      <c r="J1058" s="6">
        <v>17.380614000000001</v>
      </c>
      <c r="K1058" s="6">
        <v>-96.162818000000001</v>
      </c>
      <c r="L1058" s="6" t="str">
        <f>HYPERLINK("https://maps.google.com/?q=17.380614,-96.162818000000001", "🔗 Ver Mapa")</f>
        <v>🔗 Ver Mapa</v>
      </c>
    </row>
    <row r="1059" spans="1:12" ht="43.5" x14ac:dyDescent="0.35">
      <c r="A1059" s="5" t="s">
        <v>206</v>
      </c>
      <c r="B1059" s="5" t="s">
        <v>207</v>
      </c>
      <c r="C1059" s="5" t="s">
        <v>208</v>
      </c>
      <c r="D1059" s="5" t="s">
        <v>34</v>
      </c>
      <c r="E1059" s="5" t="s">
        <v>209</v>
      </c>
      <c r="F1059" s="5" t="s">
        <v>210</v>
      </c>
      <c r="G1059" s="5" t="s">
        <v>211</v>
      </c>
      <c r="H1059" s="5" t="s">
        <v>212</v>
      </c>
      <c r="I1059" s="5" t="s">
        <v>213</v>
      </c>
      <c r="J1059" s="5">
        <v>17.380624999999998</v>
      </c>
      <c r="K1059" s="5">
        <v>-96.160092000000006</v>
      </c>
      <c r="L1059" s="5" t="str">
        <f>HYPERLINK("https://maps.google.com/?q=17.380625,-96.160092000000006", "🔗 Ver Mapa")</f>
        <v>🔗 Ver Mapa</v>
      </c>
    </row>
    <row r="1060" spans="1:12" ht="43.5" x14ac:dyDescent="0.35">
      <c r="A1060" s="6" t="s">
        <v>206</v>
      </c>
      <c r="B1060" s="6" t="s">
        <v>207</v>
      </c>
      <c r="C1060" s="6" t="s">
        <v>208</v>
      </c>
      <c r="D1060" s="6" t="s">
        <v>34</v>
      </c>
      <c r="E1060" s="6" t="s">
        <v>209</v>
      </c>
      <c r="F1060" s="6" t="s">
        <v>210</v>
      </c>
      <c r="G1060" s="6" t="s">
        <v>211</v>
      </c>
      <c r="H1060" s="6" t="s">
        <v>212</v>
      </c>
      <c r="I1060" s="6" t="s">
        <v>213</v>
      </c>
      <c r="J1060" s="6">
        <v>17.380662999999998</v>
      </c>
      <c r="K1060" s="6">
        <v>-96.163470000000004</v>
      </c>
      <c r="L1060" s="6" t="str">
        <f>HYPERLINK("https://maps.google.com/?q=17.380663,-96.163470000000004", "🔗 Ver Mapa")</f>
        <v>🔗 Ver Mapa</v>
      </c>
    </row>
    <row r="1061" spans="1:12" ht="43.5" x14ac:dyDescent="0.35">
      <c r="A1061" s="5" t="s">
        <v>206</v>
      </c>
      <c r="B1061" s="5" t="s">
        <v>207</v>
      </c>
      <c r="C1061" s="5" t="s">
        <v>208</v>
      </c>
      <c r="D1061" s="5" t="s">
        <v>34</v>
      </c>
      <c r="E1061" s="5" t="s">
        <v>209</v>
      </c>
      <c r="F1061" s="5" t="s">
        <v>210</v>
      </c>
      <c r="G1061" s="5" t="s">
        <v>211</v>
      </c>
      <c r="H1061" s="5" t="s">
        <v>212</v>
      </c>
      <c r="I1061" s="5" t="s">
        <v>213</v>
      </c>
      <c r="J1061" s="5">
        <v>17.380669999999999</v>
      </c>
      <c r="K1061" s="5">
        <v>-96.161015000000006</v>
      </c>
      <c r="L1061" s="5" t="str">
        <f>HYPERLINK("https://maps.google.com/?q=17.38067,-96.161015000000006", "🔗 Ver Mapa")</f>
        <v>🔗 Ver Mapa</v>
      </c>
    </row>
    <row r="1062" spans="1:12" ht="43.5" x14ac:dyDescent="0.35">
      <c r="A1062" s="6" t="s">
        <v>206</v>
      </c>
      <c r="B1062" s="6" t="s">
        <v>207</v>
      </c>
      <c r="C1062" s="6" t="s">
        <v>208</v>
      </c>
      <c r="D1062" s="6" t="s">
        <v>34</v>
      </c>
      <c r="E1062" s="6" t="s">
        <v>209</v>
      </c>
      <c r="F1062" s="6" t="s">
        <v>210</v>
      </c>
      <c r="G1062" s="6" t="s">
        <v>211</v>
      </c>
      <c r="H1062" s="6" t="s">
        <v>212</v>
      </c>
      <c r="I1062" s="6" t="s">
        <v>213</v>
      </c>
      <c r="J1062" s="6">
        <v>17.380693000000001</v>
      </c>
      <c r="K1062" s="6">
        <v>-96.163908000000006</v>
      </c>
      <c r="L1062" s="6" t="str">
        <f>HYPERLINK("https://maps.google.com/?q=17.380693,-96.163908000000006", "🔗 Ver Mapa")</f>
        <v>🔗 Ver Mapa</v>
      </c>
    </row>
    <row r="1063" spans="1:12" ht="43.5" x14ac:dyDescent="0.35">
      <c r="A1063" s="5" t="s">
        <v>206</v>
      </c>
      <c r="B1063" s="5" t="s">
        <v>207</v>
      </c>
      <c r="C1063" s="5" t="s">
        <v>208</v>
      </c>
      <c r="D1063" s="5" t="s">
        <v>34</v>
      </c>
      <c r="E1063" s="5" t="s">
        <v>209</v>
      </c>
      <c r="F1063" s="5" t="s">
        <v>210</v>
      </c>
      <c r="G1063" s="5" t="s">
        <v>211</v>
      </c>
      <c r="H1063" s="5" t="s">
        <v>212</v>
      </c>
      <c r="I1063" s="5" t="s">
        <v>213</v>
      </c>
      <c r="J1063" s="5">
        <v>17.380697000000001</v>
      </c>
      <c r="K1063" s="5">
        <v>-96.160612</v>
      </c>
      <c r="L1063" s="5" t="str">
        <f>HYPERLINK("https://maps.google.com/?q=17.380697,-96.160612", "🔗 Ver Mapa")</f>
        <v>🔗 Ver Mapa</v>
      </c>
    </row>
    <row r="1064" spans="1:12" ht="43.5" x14ac:dyDescent="0.35">
      <c r="A1064" s="6" t="s">
        <v>206</v>
      </c>
      <c r="B1064" s="6" t="s">
        <v>207</v>
      </c>
      <c r="C1064" s="6" t="s">
        <v>208</v>
      </c>
      <c r="D1064" s="6" t="s">
        <v>34</v>
      </c>
      <c r="E1064" s="6" t="s">
        <v>209</v>
      </c>
      <c r="F1064" s="6" t="s">
        <v>210</v>
      </c>
      <c r="G1064" s="6" t="s">
        <v>211</v>
      </c>
      <c r="H1064" s="6" t="s">
        <v>212</v>
      </c>
      <c r="I1064" s="6" t="s">
        <v>213</v>
      </c>
      <c r="J1064" s="6">
        <v>17.380701999999999</v>
      </c>
      <c r="K1064" s="6">
        <v>-96.160157999999996</v>
      </c>
      <c r="L1064" s="6" t="str">
        <f>HYPERLINK("https://maps.google.com/?q=17.380702,-96.160157999999996", "🔗 Ver Mapa")</f>
        <v>🔗 Ver Mapa</v>
      </c>
    </row>
    <row r="1065" spans="1:12" ht="43.5" x14ac:dyDescent="0.35">
      <c r="A1065" s="5" t="s">
        <v>206</v>
      </c>
      <c r="B1065" s="5" t="s">
        <v>207</v>
      </c>
      <c r="C1065" s="5" t="s">
        <v>208</v>
      </c>
      <c r="D1065" s="5" t="s">
        <v>34</v>
      </c>
      <c r="E1065" s="5" t="s">
        <v>209</v>
      </c>
      <c r="F1065" s="5" t="s">
        <v>210</v>
      </c>
      <c r="G1065" s="5" t="s">
        <v>211</v>
      </c>
      <c r="H1065" s="5" t="s">
        <v>212</v>
      </c>
      <c r="I1065" s="5" t="s">
        <v>213</v>
      </c>
      <c r="J1065" s="5">
        <v>17.380718999999999</v>
      </c>
      <c r="K1065" s="5">
        <v>-96.161219000000003</v>
      </c>
      <c r="L1065" s="5" t="str">
        <f>HYPERLINK("https://maps.google.com/?q=17.380719,-96.161219000000003", "🔗 Ver Mapa")</f>
        <v>🔗 Ver Mapa</v>
      </c>
    </row>
    <row r="1066" spans="1:12" ht="43.5" x14ac:dyDescent="0.35">
      <c r="A1066" s="6" t="s">
        <v>206</v>
      </c>
      <c r="B1066" s="6" t="s">
        <v>207</v>
      </c>
      <c r="C1066" s="6" t="s">
        <v>208</v>
      </c>
      <c r="D1066" s="6" t="s">
        <v>34</v>
      </c>
      <c r="E1066" s="6" t="s">
        <v>209</v>
      </c>
      <c r="F1066" s="6" t="s">
        <v>210</v>
      </c>
      <c r="G1066" s="6" t="s">
        <v>211</v>
      </c>
      <c r="H1066" s="6" t="s">
        <v>212</v>
      </c>
      <c r="I1066" s="6" t="s">
        <v>213</v>
      </c>
      <c r="J1066" s="6">
        <v>17.380744</v>
      </c>
      <c r="K1066" s="6">
        <v>-96.163883999999996</v>
      </c>
      <c r="L1066" s="6" t="str">
        <f>HYPERLINK("https://maps.google.com/?q=17.380744,-96.163883999999996", "🔗 Ver Mapa")</f>
        <v>🔗 Ver Mapa</v>
      </c>
    </row>
    <row r="1067" spans="1:12" ht="43.5" x14ac:dyDescent="0.35">
      <c r="A1067" s="5" t="s">
        <v>206</v>
      </c>
      <c r="B1067" s="5" t="s">
        <v>207</v>
      </c>
      <c r="C1067" s="5" t="s">
        <v>208</v>
      </c>
      <c r="D1067" s="5" t="s">
        <v>34</v>
      </c>
      <c r="E1067" s="5" t="s">
        <v>209</v>
      </c>
      <c r="F1067" s="5" t="s">
        <v>210</v>
      </c>
      <c r="G1067" s="5" t="s">
        <v>211</v>
      </c>
      <c r="H1067" s="5" t="s">
        <v>212</v>
      </c>
      <c r="I1067" s="5" t="s">
        <v>213</v>
      </c>
      <c r="J1067" s="5">
        <v>17.380752000000001</v>
      </c>
      <c r="K1067" s="5">
        <v>-96.162834000000004</v>
      </c>
      <c r="L1067" s="5" t="str">
        <f>HYPERLINK("https://maps.google.com/?q=17.380752,-96.162834000000004", "🔗 Ver Mapa")</f>
        <v>🔗 Ver Mapa</v>
      </c>
    </row>
    <row r="1068" spans="1:12" ht="43.5" x14ac:dyDescent="0.35">
      <c r="A1068" s="6" t="s">
        <v>206</v>
      </c>
      <c r="B1068" s="6" t="s">
        <v>207</v>
      </c>
      <c r="C1068" s="6" t="s">
        <v>208</v>
      </c>
      <c r="D1068" s="6" t="s">
        <v>34</v>
      </c>
      <c r="E1068" s="6" t="s">
        <v>209</v>
      </c>
      <c r="F1068" s="6" t="s">
        <v>210</v>
      </c>
      <c r="G1068" s="6" t="s">
        <v>211</v>
      </c>
      <c r="H1068" s="6" t="s">
        <v>212</v>
      </c>
      <c r="I1068" s="6" t="s">
        <v>213</v>
      </c>
      <c r="J1068" s="6">
        <v>17.380755000000001</v>
      </c>
      <c r="K1068" s="6">
        <v>-96.162820999999994</v>
      </c>
      <c r="L1068" s="6" t="str">
        <f>HYPERLINK("https://maps.google.com/?q=17.380755,-96.162820999999994", "🔗 Ver Mapa")</f>
        <v>🔗 Ver Mapa</v>
      </c>
    </row>
    <row r="1069" spans="1:12" ht="43.5" x14ac:dyDescent="0.35">
      <c r="A1069" s="5" t="s">
        <v>206</v>
      </c>
      <c r="B1069" s="5" t="s">
        <v>207</v>
      </c>
      <c r="C1069" s="5" t="s">
        <v>208</v>
      </c>
      <c r="D1069" s="5" t="s">
        <v>34</v>
      </c>
      <c r="E1069" s="5" t="s">
        <v>209</v>
      </c>
      <c r="F1069" s="5" t="s">
        <v>210</v>
      </c>
      <c r="G1069" s="5" t="s">
        <v>211</v>
      </c>
      <c r="H1069" s="5" t="s">
        <v>212</v>
      </c>
      <c r="I1069" s="5" t="s">
        <v>213</v>
      </c>
      <c r="J1069" s="5">
        <v>17.380763999999999</v>
      </c>
      <c r="K1069" s="5">
        <v>-96.161269000000004</v>
      </c>
      <c r="L1069" s="5" t="str">
        <f>HYPERLINK("https://maps.google.com/?q=17.380764,-96.161269000000004", "🔗 Ver Mapa")</f>
        <v>🔗 Ver Mapa</v>
      </c>
    </row>
    <row r="1070" spans="1:12" ht="43.5" x14ac:dyDescent="0.35">
      <c r="A1070" s="6" t="s">
        <v>206</v>
      </c>
      <c r="B1070" s="6" t="s">
        <v>207</v>
      </c>
      <c r="C1070" s="6" t="s">
        <v>208</v>
      </c>
      <c r="D1070" s="6" t="s">
        <v>34</v>
      </c>
      <c r="E1070" s="6" t="s">
        <v>209</v>
      </c>
      <c r="F1070" s="6" t="s">
        <v>210</v>
      </c>
      <c r="G1070" s="6" t="s">
        <v>211</v>
      </c>
      <c r="H1070" s="6" t="s">
        <v>212</v>
      </c>
      <c r="I1070" s="6" t="s">
        <v>213</v>
      </c>
      <c r="J1070" s="6">
        <v>17.380769999999998</v>
      </c>
      <c r="K1070" s="6">
        <v>-96.161225999999999</v>
      </c>
      <c r="L1070" s="6" t="str">
        <f>HYPERLINK("https://maps.google.com/?q=17.38077,-96.161225999999999", "🔗 Ver Mapa")</f>
        <v>🔗 Ver Mapa</v>
      </c>
    </row>
    <row r="1071" spans="1:12" ht="43.5" x14ac:dyDescent="0.35">
      <c r="A1071" s="5" t="s">
        <v>206</v>
      </c>
      <c r="B1071" s="5" t="s">
        <v>207</v>
      </c>
      <c r="C1071" s="5" t="s">
        <v>208</v>
      </c>
      <c r="D1071" s="5" t="s">
        <v>34</v>
      </c>
      <c r="E1071" s="5" t="s">
        <v>209</v>
      </c>
      <c r="F1071" s="5" t="s">
        <v>210</v>
      </c>
      <c r="G1071" s="5" t="s">
        <v>211</v>
      </c>
      <c r="H1071" s="5" t="s">
        <v>212</v>
      </c>
      <c r="I1071" s="5" t="s">
        <v>213</v>
      </c>
      <c r="J1071" s="5">
        <v>17.380794999999999</v>
      </c>
      <c r="K1071" s="5">
        <v>-96.164078000000003</v>
      </c>
      <c r="L1071" s="5" t="str">
        <f>HYPERLINK("https://maps.google.com/?q=17.380795,-96.164078000000003", "🔗 Ver Mapa")</f>
        <v>🔗 Ver Mapa</v>
      </c>
    </row>
    <row r="1072" spans="1:12" ht="43.5" x14ac:dyDescent="0.35">
      <c r="A1072" s="6" t="s">
        <v>206</v>
      </c>
      <c r="B1072" s="6" t="s">
        <v>207</v>
      </c>
      <c r="C1072" s="6" t="s">
        <v>208</v>
      </c>
      <c r="D1072" s="6" t="s">
        <v>34</v>
      </c>
      <c r="E1072" s="6" t="s">
        <v>209</v>
      </c>
      <c r="F1072" s="6" t="s">
        <v>210</v>
      </c>
      <c r="G1072" s="6" t="s">
        <v>211</v>
      </c>
      <c r="H1072" s="6" t="s">
        <v>212</v>
      </c>
      <c r="I1072" s="6" t="s">
        <v>213</v>
      </c>
      <c r="J1072" s="6">
        <v>17.380797000000001</v>
      </c>
      <c r="K1072" s="6">
        <v>-96.163816999999995</v>
      </c>
      <c r="L1072" s="6" t="str">
        <f>HYPERLINK("https://maps.google.com/?q=17.380797,-96.163816999999995", "🔗 Ver Mapa")</f>
        <v>🔗 Ver Mapa</v>
      </c>
    </row>
    <row r="1073" spans="1:12" ht="43.5" x14ac:dyDescent="0.35">
      <c r="A1073" s="5" t="s">
        <v>206</v>
      </c>
      <c r="B1073" s="5" t="s">
        <v>207</v>
      </c>
      <c r="C1073" s="5" t="s">
        <v>208</v>
      </c>
      <c r="D1073" s="5" t="s">
        <v>34</v>
      </c>
      <c r="E1073" s="5" t="s">
        <v>209</v>
      </c>
      <c r="F1073" s="5" t="s">
        <v>210</v>
      </c>
      <c r="G1073" s="5" t="s">
        <v>211</v>
      </c>
      <c r="H1073" s="5" t="s">
        <v>212</v>
      </c>
      <c r="I1073" s="5" t="s">
        <v>213</v>
      </c>
      <c r="J1073" s="5">
        <v>17.380825999999999</v>
      </c>
      <c r="K1073" s="5">
        <v>-96.160790000000006</v>
      </c>
      <c r="L1073" s="5" t="str">
        <f>HYPERLINK("https://maps.google.com/?q=17.380826,-96.160790000000006", "🔗 Ver Mapa")</f>
        <v>🔗 Ver Mapa</v>
      </c>
    </row>
    <row r="1074" spans="1:12" ht="43.5" x14ac:dyDescent="0.35">
      <c r="A1074" s="6" t="s">
        <v>206</v>
      </c>
      <c r="B1074" s="6" t="s">
        <v>207</v>
      </c>
      <c r="C1074" s="6" t="s">
        <v>208</v>
      </c>
      <c r="D1074" s="6" t="s">
        <v>34</v>
      </c>
      <c r="E1074" s="6" t="s">
        <v>209</v>
      </c>
      <c r="F1074" s="6" t="s">
        <v>210</v>
      </c>
      <c r="G1074" s="6" t="s">
        <v>211</v>
      </c>
      <c r="H1074" s="6" t="s">
        <v>212</v>
      </c>
      <c r="I1074" s="6" t="s">
        <v>213</v>
      </c>
      <c r="J1074" s="6">
        <v>17.380845000000001</v>
      </c>
      <c r="K1074" s="6">
        <v>-96.161711999999994</v>
      </c>
      <c r="L1074" s="6" t="str">
        <f>HYPERLINK("https://maps.google.com/?q=17.380845,-96.161711999999994", "🔗 Ver Mapa")</f>
        <v>🔗 Ver Mapa</v>
      </c>
    </row>
    <row r="1075" spans="1:12" ht="43.5" x14ac:dyDescent="0.35">
      <c r="A1075" s="5" t="s">
        <v>206</v>
      </c>
      <c r="B1075" s="5" t="s">
        <v>207</v>
      </c>
      <c r="C1075" s="5" t="s">
        <v>208</v>
      </c>
      <c r="D1075" s="5" t="s">
        <v>34</v>
      </c>
      <c r="E1075" s="5" t="s">
        <v>209</v>
      </c>
      <c r="F1075" s="5" t="s">
        <v>210</v>
      </c>
      <c r="G1075" s="5" t="s">
        <v>211</v>
      </c>
      <c r="H1075" s="5" t="s">
        <v>212</v>
      </c>
      <c r="I1075" s="5" t="s">
        <v>213</v>
      </c>
      <c r="J1075" s="5">
        <v>17.380852000000001</v>
      </c>
      <c r="K1075" s="5">
        <v>-96.163675999999995</v>
      </c>
      <c r="L1075" s="5" t="str">
        <f>HYPERLINK("https://maps.google.com/?q=17.380852,-96.163675999999995", "🔗 Ver Mapa")</f>
        <v>🔗 Ver Mapa</v>
      </c>
    </row>
    <row r="1076" spans="1:12" ht="43.5" x14ac:dyDescent="0.35">
      <c r="A1076" s="6" t="s">
        <v>206</v>
      </c>
      <c r="B1076" s="6" t="s">
        <v>207</v>
      </c>
      <c r="C1076" s="6" t="s">
        <v>208</v>
      </c>
      <c r="D1076" s="6" t="s">
        <v>34</v>
      </c>
      <c r="E1076" s="6" t="s">
        <v>209</v>
      </c>
      <c r="F1076" s="6" t="s">
        <v>210</v>
      </c>
      <c r="G1076" s="6" t="s">
        <v>211</v>
      </c>
      <c r="H1076" s="6" t="s">
        <v>212</v>
      </c>
      <c r="I1076" s="6" t="s">
        <v>213</v>
      </c>
      <c r="J1076" s="6">
        <v>17.380893</v>
      </c>
      <c r="K1076" s="6">
        <v>-96.161241000000004</v>
      </c>
      <c r="L1076" s="6" t="str">
        <f>HYPERLINK("https://maps.google.com/?q=17.380893,-96.161241000000004", "🔗 Ver Mapa")</f>
        <v>🔗 Ver Mapa</v>
      </c>
    </row>
    <row r="1077" spans="1:12" ht="43.5" x14ac:dyDescent="0.35">
      <c r="A1077" s="5" t="s">
        <v>206</v>
      </c>
      <c r="B1077" s="5" t="s">
        <v>207</v>
      </c>
      <c r="C1077" s="5" t="s">
        <v>208</v>
      </c>
      <c r="D1077" s="5" t="s">
        <v>34</v>
      </c>
      <c r="E1077" s="5" t="s">
        <v>209</v>
      </c>
      <c r="F1077" s="5" t="s">
        <v>210</v>
      </c>
      <c r="G1077" s="5" t="s">
        <v>211</v>
      </c>
      <c r="H1077" s="5" t="s">
        <v>212</v>
      </c>
      <c r="I1077" s="5" t="s">
        <v>213</v>
      </c>
      <c r="J1077" s="5">
        <v>17.380896</v>
      </c>
      <c r="K1077" s="5">
        <v>-96.162126999999998</v>
      </c>
      <c r="L1077" s="5" t="str">
        <f>HYPERLINK("https://maps.google.com/?q=17.380896,-96.162126999999998", "🔗 Ver Mapa")</f>
        <v>🔗 Ver Mapa</v>
      </c>
    </row>
    <row r="1078" spans="1:12" ht="43.5" x14ac:dyDescent="0.35">
      <c r="A1078" s="6" t="s">
        <v>206</v>
      </c>
      <c r="B1078" s="6" t="s">
        <v>207</v>
      </c>
      <c r="C1078" s="6" t="s">
        <v>208</v>
      </c>
      <c r="D1078" s="6" t="s">
        <v>34</v>
      </c>
      <c r="E1078" s="6" t="s">
        <v>209</v>
      </c>
      <c r="F1078" s="6" t="s">
        <v>210</v>
      </c>
      <c r="G1078" s="6" t="s">
        <v>211</v>
      </c>
      <c r="H1078" s="6" t="s">
        <v>212</v>
      </c>
      <c r="I1078" s="6" t="s">
        <v>213</v>
      </c>
      <c r="J1078" s="6">
        <v>17.380897000000001</v>
      </c>
      <c r="K1078" s="6">
        <v>-96.161719000000005</v>
      </c>
      <c r="L1078" s="6" t="str">
        <f>HYPERLINK("https://maps.google.com/?q=17.380897,-96.161719000000005", "🔗 Ver Mapa")</f>
        <v>🔗 Ver Mapa</v>
      </c>
    </row>
    <row r="1079" spans="1:12" ht="43.5" x14ac:dyDescent="0.35">
      <c r="A1079" s="5" t="s">
        <v>206</v>
      </c>
      <c r="B1079" s="5" t="s">
        <v>207</v>
      </c>
      <c r="C1079" s="5" t="s">
        <v>208</v>
      </c>
      <c r="D1079" s="5" t="s">
        <v>34</v>
      </c>
      <c r="E1079" s="5" t="s">
        <v>209</v>
      </c>
      <c r="F1079" s="5" t="s">
        <v>210</v>
      </c>
      <c r="G1079" s="5" t="s">
        <v>211</v>
      </c>
      <c r="H1079" s="5" t="s">
        <v>212</v>
      </c>
      <c r="I1079" s="5" t="s">
        <v>213</v>
      </c>
      <c r="J1079" s="5">
        <v>17.380898999999999</v>
      </c>
      <c r="K1079" s="5">
        <v>-96.160287999999994</v>
      </c>
      <c r="L1079" s="5" t="str">
        <f>HYPERLINK("https://maps.google.com/?q=17.380899,-96.160287999999994", "🔗 Ver Mapa")</f>
        <v>🔗 Ver Mapa</v>
      </c>
    </row>
    <row r="1080" spans="1:12" ht="43.5" x14ac:dyDescent="0.35">
      <c r="A1080" s="6" t="s">
        <v>206</v>
      </c>
      <c r="B1080" s="6" t="s">
        <v>207</v>
      </c>
      <c r="C1080" s="6" t="s">
        <v>208</v>
      </c>
      <c r="D1080" s="6" t="s">
        <v>34</v>
      </c>
      <c r="E1080" s="6" t="s">
        <v>209</v>
      </c>
      <c r="F1080" s="6" t="s">
        <v>210</v>
      </c>
      <c r="G1080" s="6" t="s">
        <v>211</v>
      </c>
      <c r="H1080" s="6" t="s">
        <v>212</v>
      </c>
      <c r="I1080" s="6" t="s">
        <v>213</v>
      </c>
      <c r="J1080" s="6">
        <v>17.380901999999999</v>
      </c>
      <c r="K1080" s="6">
        <v>-96.160726999999994</v>
      </c>
      <c r="L1080" s="6" t="str">
        <f>HYPERLINK("https://maps.google.com/?q=17.380902,-96.160726999999994", "🔗 Ver Mapa")</f>
        <v>🔗 Ver Mapa</v>
      </c>
    </row>
    <row r="1081" spans="1:12" ht="43.5" x14ac:dyDescent="0.35">
      <c r="A1081" s="5" t="s">
        <v>206</v>
      </c>
      <c r="B1081" s="5" t="s">
        <v>207</v>
      </c>
      <c r="C1081" s="5" t="s">
        <v>208</v>
      </c>
      <c r="D1081" s="5" t="s">
        <v>34</v>
      </c>
      <c r="E1081" s="5" t="s">
        <v>209</v>
      </c>
      <c r="F1081" s="5" t="s">
        <v>210</v>
      </c>
      <c r="G1081" s="5" t="s">
        <v>211</v>
      </c>
      <c r="H1081" s="5" t="s">
        <v>212</v>
      </c>
      <c r="I1081" s="5" t="s">
        <v>213</v>
      </c>
      <c r="J1081" s="5">
        <v>17.380915999999999</v>
      </c>
      <c r="K1081" s="5">
        <v>-96.164332999999999</v>
      </c>
      <c r="L1081" s="5" t="str">
        <f>HYPERLINK("https://maps.google.com/?q=17.380916,-96.164332999999999", "🔗 Ver Mapa")</f>
        <v>🔗 Ver Mapa</v>
      </c>
    </row>
    <row r="1082" spans="1:12" ht="43.5" x14ac:dyDescent="0.35">
      <c r="A1082" s="6" t="s">
        <v>206</v>
      </c>
      <c r="B1082" s="6" t="s">
        <v>207</v>
      </c>
      <c r="C1082" s="6" t="s">
        <v>208</v>
      </c>
      <c r="D1082" s="6" t="s">
        <v>34</v>
      </c>
      <c r="E1082" s="6" t="s">
        <v>209</v>
      </c>
      <c r="F1082" s="6" t="s">
        <v>210</v>
      </c>
      <c r="G1082" s="6" t="s">
        <v>211</v>
      </c>
      <c r="H1082" s="6" t="s">
        <v>212</v>
      </c>
      <c r="I1082" s="6" t="s">
        <v>213</v>
      </c>
      <c r="J1082" s="6">
        <v>17.380918999999999</v>
      </c>
      <c r="K1082" s="6">
        <v>-96.163228000000004</v>
      </c>
      <c r="L1082" s="6" t="str">
        <f>HYPERLINK("https://maps.google.com/?q=17.380919,-96.163228000000004", "🔗 Ver Mapa")</f>
        <v>🔗 Ver Mapa</v>
      </c>
    </row>
    <row r="1083" spans="1:12" ht="43.5" x14ac:dyDescent="0.35">
      <c r="A1083" s="5" t="s">
        <v>206</v>
      </c>
      <c r="B1083" s="5" t="s">
        <v>207</v>
      </c>
      <c r="C1083" s="5" t="s">
        <v>208</v>
      </c>
      <c r="D1083" s="5" t="s">
        <v>34</v>
      </c>
      <c r="E1083" s="5" t="s">
        <v>209</v>
      </c>
      <c r="F1083" s="5" t="s">
        <v>210</v>
      </c>
      <c r="G1083" s="5" t="s">
        <v>211</v>
      </c>
      <c r="H1083" s="5" t="s">
        <v>212</v>
      </c>
      <c r="I1083" s="5" t="s">
        <v>213</v>
      </c>
      <c r="J1083" s="5">
        <v>17.380932999999999</v>
      </c>
      <c r="K1083" s="5">
        <v>-96.161721999999997</v>
      </c>
      <c r="L1083" s="5" t="str">
        <f>HYPERLINK("https://maps.google.com/?q=17.380933,-96.161721999999997", "🔗 Ver Mapa")</f>
        <v>🔗 Ver Mapa</v>
      </c>
    </row>
    <row r="1084" spans="1:12" ht="43.5" x14ac:dyDescent="0.35">
      <c r="A1084" s="6" t="s">
        <v>206</v>
      </c>
      <c r="B1084" s="6" t="s">
        <v>207</v>
      </c>
      <c r="C1084" s="6" t="s">
        <v>208</v>
      </c>
      <c r="D1084" s="6" t="s">
        <v>34</v>
      </c>
      <c r="E1084" s="6" t="s">
        <v>209</v>
      </c>
      <c r="F1084" s="6" t="s">
        <v>210</v>
      </c>
      <c r="G1084" s="6" t="s">
        <v>211</v>
      </c>
      <c r="H1084" s="6" t="s">
        <v>212</v>
      </c>
      <c r="I1084" s="6" t="s">
        <v>213</v>
      </c>
      <c r="J1084" s="6">
        <v>17.380970999999999</v>
      </c>
      <c r="K1084" s="6">
        <v>-96.161743000000001</v>
      </c>
      <c r="L1084" s="6" t="str">
        <f>HYPERLINK("https://maps.google.com/?q=17.380971,-96.161743000000001", "🔗 Ver Mapa")</f>
        <v>🔗 Ver Mapa</v>
      </c>
    </row>
    <row r="1085" spans="1:12" ht="43.5" x14ac:dyDescent="0.35">
      <c r="A1085" s="5" t="s">
        <v>206</v>
      </c>
      <c r="B1085" s="5" t="s">
        <v>207</v>
      </c>
      <c r="C1085" s="5" t="s">
        <v>208</v>
      </c>
      <c r="D1085" s="5" t="s">
        <v>34</v>
      </c>
      <c r="E1085" s="5" t="s">
        <v>209</v>
      </c>
      <c r="F1085" s="5" t="s">
        <v>210</v>
      </c>
      <c r="G1085" s="5" t="s">
        <v>211</v>
      </c>
      <c r="H1085" s="5" t="s">
        <v>212</v>
      </c>
      <c r="I1085" s="5" t="s">
        <v>213</v>
      </c>
      <c r="J1085" s="5">
        <v>17.380986</v>
      </c>
      <c r="K1085" s="5">
        <v>-96.161439000000001</v>
      </c>
      <c r="L1085" s="5" t="str">
        <f>HYPERLINK("https://maps.google.com/?q=17.380986,-96.161439000000001", "🔗 Ver Mapa")</f>
        <v>🔗 Ver Mapa</v>
      </c>
    </row>
    <row r="1086" spans="1:12" ht="43.5" x14ac:dyDescent="0.35">
      <c r="A1086" s="6" t="s">
        <v>206</v>
      </c>
      <c r="B1086" s="6" t="s">
        <v>207</v>
      </c>
      <c r="C1086" s="6" t="s">
        <v>208</v>
      </c>
      <c r="D1086" s="6" t="s">
        <v>34</v>
      </c>
      <c r="E1086" s="6" t="s">
        <v>209</v>
      </c>
      <c r="F1086" s="6" t="s">
        <v>210</v>
      </c>
      <c r="G1086" s="6" t="s">
        <v>211</v>
      </c>
      <c r="H1086" s="6" t="s">
        <v>212</v>
      </c>
      <c r="I1086" s="6" t="s">
        <v>213</v>
      </c>
      <c r="J1086" s="6">
        <v>17.380987999999999</v>
      </c>
      <c r="K1086" s="6">
        <v>-96.160781999999998</v>
      </c>
      <c r="L1086" s="6" t="str">
        <f>HYPERLINK("https://maps.google.com/?q=17.380988,-96.160781999999998", "🔗 Ver Mapa")</f>
        <v>🔗 Ver Mapa</v>
      </c>
    </row>
    <row r="1087" spans="1:12" ht="43.5" x14ac:dyDescent="0.35">
      <c r="A1087" s="5" t="s">
        <v>206</v>
      </c>
      <c r="B1087" s="5" t="s">
        <v>207</v>
      </c>
      <c r="C1087" s="5" t="s">
        <v>208</v>
      </c>
      <c r="D1087" s="5" t="s">
        <v>34</v>
      </c>
      <c r="E1087" s="5" t="s">
        <v>209</v>
      </c>
      <c r="F1087" s="5" t="s">
        <v>210</v>
      </c>
      <c r="G1087" s="5" t="s">
        <v>211</v>
      </c>
      <c r="H1087" s="5" t="s">
        <v>212</v>
      </c>
      <c r="I1087" s="5" t="s">
        <v>213</v>
      </c>
      <c r="J1087" s="5">
        <v>17.381001999999999</v>
      </c>
      <c r="K1087" s="5">
        <v>-96.163179999999997</v>
      </c>
      <c r="L1087" s="5" t="str">
        <f>HYPERLINK("https://maps.google.com/?q=17.381002,-96.163179999999997", "🔗 Ver Mapa")</f>
        <v>🔗 Ver Mapa</v>
      </c>
    </row>
    <row r="1088" spans="1:12" ht="43.5" x14ac:dyDescent="0.35">
      <c r="A1088" s="6" t="s">
        <v>206</v>
      </c>
      <c r="B1088" s="6" t="s">
        <v>207</v>
      </c>
      <c r="C1088" s="6" t="s">
        <v>208</v>
      </c>
      <c r="D1088" s="6" t="s">
        <v>34</v>
      </c>
      <c r="E1088" s="6" t="s">
        <v>209</v>
      </c>
      <c r="F1088" s="6" t="s">
        <v>210</v>
      </c>
      <c r="G1088" s="6" t="s">
        <v>211</v>
      </c>
      <c r="H1088" s="6" t="s">
        <v>212</v>
      </c>
      <c r="I1088" s="6" t="s">
        <v>213</v>
      </c>
      <c r="J1088" s="6">
        <v>17.381004000000001</v>
      </c>
      <c r="K1088" s="6">
        <v>-96.161237</v>
      </c>
      <c r="L1088" s="6" t="str">
        <f>HYPERLINK("https://maps.google.com/?q=17.381004,-96.161237", "🔗 Ver Mapa")</f>
        <v>🔗 Ver Mapa</v>
      </c>
    </row>
    <row r="1089" spans="1:12" ht="43.5" x14ac:dyDescent="0.35">
      <c r="A1089" s="5" t="s">
        <v>206</v>
      </c>
      <c r="B1089" s="5" t="s">
        <v>207</v>
      </c>
      <c r="C1089" s="5" t="s">
        <v>208</v>
      </c>
      <c r="D1089" s="5" t="s">
        <v>34</v>
      </c>
      <c r="E1089" s="5" t="s">
        <v>209</v>
      </c>
      <c r="F1089" s="5" t="s">
        <v>210</v>
      </c>
      <c r="G1089" s="5" t="s">
        <v>211</v>
      </c>
      <c r="H1089" s="5" t="s">
        <v>212</v>
      </c>
      <c r="I1089" s="5" t="s">
        <v>213</v>
      </c>
      <c r="J1089" s="5">
        <v>17.381012999999999</v>
      </c>
      <c r="K1089" s="5">
        <v>-96.161268000000007</v>
      </c>
      <c r="L1089" s="5" t="str">
        <f>HYPERLINK("https://maps.google.com/?q=17.381013,-96.161268000000007", "🔗 Ver Mapa")</f>
        <v>🔗 Ver Mapa</v>
      </c>
    </row>
    <row r="1090" spans="1:12" ht="43.5" x14ac:dyDescent="0.35">
      <c r="A1090" s="6" t="s">
        <v>206</v>
      </c>
      <c r="B1090" s="6" t="s">
        <v>207</v>
      </c>
      <c r="C1090" s="6" t="s">
        <v>208</v>
      </c>
      <c r="D1090" s="6" t="s">
        <v>34</v>
      </c>
      <c r="E1090" s="6" t="s">
        <v>209</v>
      </c>
      <c r="F1090" s="6" t="s">
        <v>210</v>
      </c>
      <c r="G1090" s="6" t="s">
        <v>211</v>
      </c>
      <c r="H1090" s="6" t="s">
        <v>212</v>
      </c>
      <c r="I1090" s="6" t="s">
        <v>213</v>
      </c>
      <c r="J1090" s="6">
        <v>17.381015000000001</v>
      </c>
      <c r="K1090" s="6">
        <v>-96.162368999999998</v>
      </c>
      <c r="L1090" s="6" t="str">
        <f>HYPERLINK("https://maps.google.com/?q=17.381015,-96.162368999999998", "🔗 Ver Mapa")</f>
        <v>🔗 Ver Mapa</v>
      </c>
    </row>
    <row r="1091" spans="1:12" ht="43.5" x14ac:dyDescent="0.35">
      <c r="A1091" s="5" t="s">
        <v>206</v>
      </c>
      <c r="B1091" s="5" t="s">
        <v>207</v>
      </c>
      <c r="C1091" s="5" t="s">
        <v>208</v>
      </c>
      <c r="D1091" s="5" t="s">
        <v>34</v>
      </c>
      <c r="E1091" s="5" t="s">
        <v>209</v>
      </c>
      <c r="F1091" s="5" t="s">
        <v>210</v>
      </c>
      <c r="G1091" s="5" t="s">
        <v>211</v>
      </c>
      <c r="H1091" s="5" t="s">
        <v>212</v>
      </c>
      <c r="I1091" s="5" t="s">
        <v>213</v>
      </c>
      <c r="J1091" s="5">
        <v>17.381017</v>
      </c>
      <c r="K1091" s="5">
        <v>-96.160955999999999</v>
      </c>
      <c r="L1091" s="5" t="str">
        <f>HYPERLINK("https://maps.google.com/?q=17.381017,-96.160955999999999", "🔗 Ver Mapa")</f>
        <v>🔗 Ver Mapa</v>
      </c>
    </row>
    <row r="1092" spans="1:12" ht="43.5" x14ac:dyDescent="0.35">
      <c r="A1092" s="6" t="s">
        <v>206</v>
      </c>
      <c r="B1092" s="6" t="s">
        <v>207</v>
      </c>
      <c r="C1092" s="6" t="s">
        <v>208</v>
      </c>
      <c r="D1092" s="6" t="s">
        <v>34</v>
      </c>
      <c r="E1092" s="6" t="s">
        <v>209</v>
      </c>
      <c r="F1092" s="6" t="s">
        <v>210</v>
      </c>
      <c r="G1092" s="6" t="s">
        <v>211</v>
      </c>
      <c r="H1092" s="6" t="s">
        <v>212</v>
      </c>
      <c r="I1092" s="6" t="s">
        <v>213</v>
      </c>
      <c r="J1092" s="6">
        <v>17.381028000000001</v>
      </c>
      <c r="K1092" s="6">
        <v>-96.161242000000001</v>
      </c>
      <c r="L1092" s="6" t="str">
        <f>HYPERLINK("https://maps.google.com/?q=17.381028,-96.161242000000001", "🔗 Ver Mapa")</f>
        <v>🔗 Ver Mapa</v>
      </c>
    </row>
    <row r="1093" spans="1:12" ht="43.5" x14ac:dyDescent="0.35">
      <c r="A1093" s="5" t="s">
        <v>206</v>
      </c>
      <c r="B1093" s="5" t="s">
        <v>207</v>
      </c>
      <c r="C1093" s="5" t="s">
        <v>208</v>
      </c>
      <c r="D1093" s="5" t="s">
        <v>34</v>
      </c>
      <c r="E1093" s="5" t="s">
        <v>209</v>
      </c>
      <c r="F1093" s="5" t="s">
        <v>210</v>
      </c>
      <c r="G1093" s="5" t="s">
        <v>211</v>
      </c>
      <c r="H1093" s="5" t="s">
        <v>212</v>
      </c>
      <c r="I1093" s="5" t="s">
        <v>213</v>
      </c>
      <c r="J1093" s="5">
        <v>17.381039999999999</v>
      </c>
      <c r="K1093" s="5">
        <v>-96.162854999999993</v>
      </c>
      <c r="L1093" s="5" t="str">
        <f>HYPERLINK("https://maps.google.com/?q=17.38104,-96.162854999999993", "🔗 Ver Mapa")</f>
        <v>🔗 Ver Mapa</v>
      </c>
    </row>
    <row r="1094" spans="1:12" ht="43.5" x14ac:dyDescent="0.35">
      <c r="A1094" s="6" t="s">
        <v>206</v>
      </c>
      <c r="B1094" s="6" t="s">
        <v>207</v>
      </c>
      <c r="C1094" s="6" t="s">
        <v>208</v>
      </c>
      <c r="D1094" s="6" t="s">
        <v>34</v>
      </c>
      <c r="E1094" s="6" t="s">
        <v>209</v>
      </c>
      <c r="F1094" s="6" t="s">
        <v>210</v>
      </c>
      <c r="G1094" s="6" t="s">
        <v>211</v>
      </c>
      <c r="H1094" s="6" t="s">
        <v>212</v>
      </c>
      <c r="I1094" s="6" t="s">
        <v>213</v>
      </c>
      <c r="J1094" s="6">
        <v>17.381049999999998</v>
      </c>
      <c r="K1094" s="6">
        <v>-96.163121000000004</v>
      </c>
      <c r="L1094" s="6" t="str">
        <f>HYPERLINK("https://maps.google.com/?q=17.38105,-96.163121000000004", "🔗 Ver Mapa")</f>
        <v>🔗 Ver Mapa</v>
      </c>
    </row>
    <row r="1095" spans="1:12" ht="43.5" x14ac:dyDescent="0.35">
      <c r="A1095" s="5" t="s">
        <v>206</v>
      </c>
      <c r="B1095" s="5" t="s">
        <v>207</v>
      </c>
      <c r="C1095" s="5" t="s">
        <v>208</v>
      </c>
      <c r="D1095" s="5" t="s">
        <v>34</v>
      </c>
      <c r="E1095" s="5" t="s">
        <v>209</v>
      </c>
      <c r="F1095" s="5" t="s">
        <v>210</v>
      </c>
      <c r="G1095" s="5" t="s">
        <v>211</v>
      </c>
      <c r="H1095" s="5" t="s">
        <v>212</v>
      </c>
      <c r="I1095" s="5" t="s">
        <v>213</v>
      </c>
      <c r="J1095" s="5">
        <v>17.381049999999998</v>
      </c>
      <c r="K1095" s="5">
        <v>-96.164670999999998</v>
      </c>
      <c r="L1095" s="5" t="str">
        <f>HYPERLINK("https://maps.google.com/?q=17.38105,-96.164670999999998", "🔗 Ver Mapa")</f>
        <v>🔗 Ver Mapa</v>
      </c>
    </row>
    <row r="1096" spans="1:12" ht="43.5" x14ac:dyDescent="0.35">
      <c r="A1096" s="6" t="s">
        <v>206</v>
      </c>
      <c r="B1096" s="6" t="s">
        <v>207</v>
      </c>
      <c r="C1096" s="6" t="s">
        <v>208</v>
      </c>
      <c r="D1096" s="6" t="s">
        <v>34</v>
      </c>
      <c r="E1096" s="6" t="s">
        <v>209</v>
      </c>
      <c r="F1096" s="6" t="s">
        <v>210</v>
      </c>
      <c r="G1096" s="6" t="s">
        <v>211</v>
      </c>
      <c r="H1096" s="6" t="s">
        <v>212</v>
      </c>
      <c r="I1096" s="6" t="s">
        <v>213</v>
      </c>
      <c r="J1096" s="6">
        <v>17.381053999999999</v>
      </c>
      <c r="K1096" s="6">
        <v>-96.162830999999997</v>
      </c>
      <c r="L1096" s="6" t="str">
        <f>HYPERLINK("https://maps.google.com/?q=17.381054,-96.162830999999997", "🔗 Ver Mapa")</f>
        <v>🔗 Ver Mapa</v>
      </c>
    </row>
    <row r="1097" spans="1:12" ht="43.5" x14ac:dyDescent="0.35">
      <c r="A1097" s="5" t="s">
        <v>206</v>
      </c>
      <c r="B1097" s="5" t="s">
        <v>207</v>
      </c>
      <c r="C1097" s="5" t="s">
        <v>208</v>
      </c>
      <c r="D1097" s="5" t="s">
        <v>34</v>
      </c>
      <c r="E1097" s="5" t="s">
        <v>209</v>
      </c>
      <c r="F1097" s="5" t="s">
        <v>210</v>
      </c>
      <c r="G1097" s="5" t="s">
        <v>211</v>
      </c>
      <c r="H1097" s="5" t="s">
        <v>212</v>
      </c>
      <c r="I1097" s="5" t="s">
        <v>213</v>
      </c>
      <c r="J1097" s="5">
        <v>17.381055</v>
      </c>
      <c r="K1097" s="5">
        <v>-96.163217000000003</v>
      </c>
      <c r="L1097" s="5" t="str">
        <f>HYPERLINK("https://maps.google.com/?q=17.381055,-96.163217000000003", "🔗 Ver Mapa")</f>
        <v>🔗 Ver Mapa</v>
      </c>
    </row>
    <row r="1098" spans="1:12" ht="43.5" x14ac:dyDescent="0.35">
      <c r="A1098" s="6" t="s">
        <v>206</v>
      </c>
      <c r="B1098" s="6" t="s">
        <v>207</v>
      </c>
      <c r="C1098" s="6" t="s">
        <v>208</v>
      </c>
      <c r="D1098" s="6" t="s">
        <v>34</v>
      </c>
      <c r="E1098" s="6" t="s">
        <v>209</v>
      </c>
      <c r="F1098" s="6" t="s">
        <v>210</v>
      </c>
      <c r="G1098" s="6" t="s">
        <v>211</v>
      </c>
      <c r="H1098" s="6" t="s">
        <v>212</v>
      </c>
      <c r="I1098" s="6" t="s">
        <v>213</v>
      </c>
      <c r="J1098" s="6">
        <v>17.381060000000002</v>
      </c>
      <c r="K1098" s="6">
        <v>-96.160737999999995</v>
      </c>
      <c r="L1098" s="6" t="str">
        <f>HYPERLINK("https://maps.google.com/?q=17.38106,-96.160737999999995", "🔗 Ver Mapa")</f>
        <v>🔗 Ver Mapa</v>
      </c>
    </row>
    <row r="1099" spans="1:12" ht="43.5" x14ac:dyDescent="0.35">
      <c r="A1099" s="5" t="s">
        <v>206</v>
      </c>
      <c r="B1099" s="5" t="s">
        <v>207</v>
      </c>
      <c r="C1099" s="5" t="s">
        <v>208</v>
      </c>
      <c r="D1099" s="5" t="s">
        <v>34</v>
      </c>
      <c r="E1099" s="5" t="s">
        <v>209</v>
      </c>
      <c r="F1099" s="5" t="s">
        <v>210</v>
      </c>
      <c r="G1099" s="5" t="s">
        <v>211</v>
      </c>
      <c r="H1099" s="5" t="s">
        <v>212</v>
      </c>
      <c r="I1099" s="5" t="s">
        <v>213</v>
      </c>
      <c r="J1099" s="5">
        <v>17.381070999999999</v>
      </c>
      <c r="K1099" s="5">
        <v>-96.160633000000004</v>
      </c>
      <c r="L1099" s="5" t="str">
        <f>HYPERLINK("https://maps.google.com/?q=17.381071,-96.160633000000004", "🔗 Ver Mapa")</f>
        <v>🔗 Ver Mapa</v>
      </c>
    </row>
    <row r="1100" spans="1:12" ht="43.5" x14ac:dyDescent="0.35">
      <c r="A1100" s="6" t="s">
        <v>206</v>
      </c>
      <c r="B1100" s="6" t="s">
        <v>207</v>
      </c>
      <c r="C1100" s="6" t="s">
        <v>208</v>
      </c>
      <c r="D1100" s="6" t="s">
        <v>34</v>
      </c>
      <c r="E1100" s="6" t="s">
        <v>209</v>
      </c>
      <c r="F1100" s="6" t="s">
        <v>210</v>
      </c>
      <c r="G1100" s="6" t="s">
        <v>211</v>
      </c>
      <c r="H1100" s="6" t="s">
        <v>212</v>
      </c>
      <c r="I1100" s="6" t="s">
        <v>213</v>
      </c>
      <c r="J1100" s="6">
        <v>17.381091999999999</v>
      </c>
      <c r="K1100" s="6">
        <v>-96.160522999999998</v>
      </c>
      <c r="L1100" s="6" t="str">
        <f>HYPERLINK("https://maps.google.com/?q=17.381092,-96.160522999999998", "🔗 Ver Mapa")</f>
        <v>🔗 Ver Mapa</v>
      </c>
    </row>
    <row r="1101" spans="1:12" ht="43.5" x14ac:dyDescent="0.35">
      <c r="A1101" s="5" t="s">
        <v>206</v>
      </c>
      <c r="B1101" s="5" t="s">
        <v>207</v>
      </c>
      <c r="C1101" s="5" t="s">
        <v>208</v>
      </c>
      <c r="D1101" s="5" t="s">
        <v>34</v>
      </c>
      <c r="E1101" s="5" t="s">
        <v>209</v>
      </c>
      <c r="F1101" s="5" t="s">
        <v>210</v>
      </c>
      <c r="G1101" s="5" t="s">
        <v>211</v>
      </c>
      <c r="H1101" s="5" t="s">
        <v>212</v>
      </c>
      <c r="I1101" s="5" t="s">
        <v>213</v>
      </c>
      <c r="J1101" s="5">
        <v>17.381094999999998</v>
      </c>
      <c r="K1101" s="5">
        <v>-96.159923000000006</v>
      </c>
      <c r="L1101" s="5" t="str">
        <f>HYPERLINK("https://maps.google.com/?q=17.381095,-96.159923000000006", "🔗 Ver Mapa")</f>
        <v>🔗 Ver Mapa</v>
      </c>
    </row>
    <row r="1102" spans="1:12" ht="43.5" x14ac:dyDescent="0.35">
      <c r="A1102" s="6" t="s">
        <v>206</v>
      </c>
      <c r="B1102" s="6" t="s">
        <v>207</v>
      </c>
      <c r="C1102" s="6" t="s">
        <v>208</v>
      </c>
      <c r="D1102" s="6" t="s">
        <v>34</v>
      </c>
      <c r="E1102" s="6" t="s">
        <v>209</v>
      </c>
      <c r="F1102" s="6" t="s">
        <v>210</v>
      </c>
      <c r="G1102" s="6" t="s">
        <v>211</v>
      </c>
      <c r="H1102" s="6" t="s">
        <v>212</v>
      </c>
      <c r="I1102" s="6" t="s">
        <v>213</v>
      </c>
      <c r="J1102" s="6">
        <v>17.381098000000001</v>
      </c>
      <c r="K1102" s="6">
        <v>-96.160387</v>
      </c>
      <c r="L1102" s="6" t="str">
        <f>HYPERLINK("https://maps.google.com/?q=17.381098,-96.160387", "🔗 Ver Mapa")</f>
        <v>🔗 Ver Mapa</v>
      </c>
    </row>
    <row r="1103" spans="1:12" ht="43.5" x14ac:dyDescent="0.35">
      <c r="A1103" s="5" t="s">
        <v>206</v>
      </c>
      <c r="B1103" s="5" t="s">
        <v>207</v>
      </c>
      <c r="C1103" s="5" t="s">
        <v>208</v>
      </c>
      <c r="D1103" s="5" t="s">
        <v>34</v>
      </c>
      <c r="E1103" s="5" t="s">
        <v>209</v>
      </c>
      <c r="F1103" s="5" t="s">
        <v>210</v>
      </c>
      <c r="G1103" s="5" t="s">
        <v>211</v>
      </c>
      <c r="H1103" s="5" t="s">
        <v>212</v>
      </c>
      <c r="I1103" s="5" t="s">
        <v>213</v>
      </c>
      <c r="J1103" s="5">
        <v>17.381126999999999</v>
      </c>
      <c r="K1103" s="5">
        <v>-96.161766999999998</v>
      </c>
      <c r="L1103" s="5" t="str">
        <f>HYPERLINK("https://maps.google.com/?q=17.381127,-96.161766999999998", "🔗 Ver Mapa")</f>
        <v>🔗 Ver Mapa</v>
      </c>
    </row>
    <row r="1104" spans="1:12" ht="43.5" x14ac:dyDescent="0.35">
      <c r="A1104" s="6" t="s">
        <v>206</v>
      </c>
      <c r="B1104" s="6" t="s">
        <v>207</v>
      </c>
      <c r="C1104" s="6" t="s">
        <v>208</v>
      </c>
      <c r="D1104" s="6" t="s">
        <v>34</v>
      </c>
      <c r="E1104" s="6" t="s">
        <v>209</v>
      </c>
      <c r="F1104" s="6" t="s">
        <v>210</v>
      </c>
      <c r="G1104" s="6" t="s">
        <v>211</v>
      </c>
      <c r="H1104" s="6" t="s">
        <v>212</v>
      </c>
      <c r="I1104" s="6" t="s">
        <v>213</v>
      </c>
      <c r="J1104" s="6">
        <v>17.381138</v>
      </c>
      <c r="K1104" s="6">
        <v>-96.160405999999995</v>
      </c>
      <c r="L1104" s="6" t="str">
        <f>HYPERLINK("https://maps.google.com/?q=17.381138,-96.160405999999995", "🔗 Ver Mapa")</f>
        <v>🔗 Ver Mapa</v>
      </c>
    </row>
    <row r="1105" spans="1:12" ht="43.5" x14ac:dyDescent="0.35">
      <c r="A1105" s="5" t="s">
        <v>206</v>
      </c>
      <c r="B1105" s="5" t="s">
        <v>207</v>
      </c>
      <c r="C1105" s="5" t="s">
        <v>208</v>
      </c>
      <c r="D1105" s="5" t="s">
        <v>34</v>
      </c>
      <c r="E1105" s="5" t="s">
        <v>209</v>
      </c>
      <c r="F1105" s="5" t="s">
        <v>210</v>
      </c>
      <c r="G1105" s="5" t="s">
        <v>211</v>
      </c>
      <c r="H1105" s="5" t="s">
        <v>212</v>
      </c>
      <c r="I1105" s="5" t="s">
        <v>213</v>
      </c>
      <c r="J1105" s="5">
        <v>17.381139999999998</v>
      </c>
      <c r="K1105" s="5">
        <v>-96.161225000000002</v>
      </c>
      <c r="L1105" s="5" t="str">
        <f>HYPERLINK("https://maps.google.com/?q=17.38114,-96.161225000000002", "🔗 Ver Mapa")</f>
        <v>🔗 Ver Mapa</v>
      </c>
    </row>
    <row r="1106" spans="1:12" ht="43.5" x14ac:dyDescent="0.35">
      <c r="A1106" s="6" t="s">
        <v>206</v>
      </c>
      <c r="B1106" s="6" t="s">
        <v>207</v>
      </c>
      <c r="C1106" s="6" t="s">
        <v>208</v>
      </c>
      <c r="D1106" s="6" t="s">
        <v>34</v>
      </c>
      <c r="E1106" s="6" t="s">
        <v>209</v>
      </c>
      <c r="F1106" s="6" t="s">
        <v>210</v>
      </c>
      <c r="G1106" s="6" t="s">
        <v>211</v>
      </c>
      <c r="H1106" s="6" t="s">
        <v>212</v>
      </c>
      <c r="I1106" s="6" t="s">
        <v>213</v>
      </c>
      <c r="J1106" s="6">
        <v>17.381149000000001</v>
      </c>
      <c r="K1106" s="6">
        <v>-96.161169999999998</v>
      </c>
      <c r="L1106" s="6" t="str">
        <f>HYPERLINK("https://maps.google.com/?q=17.381149,-96.161169999999998", "🔗 Ver Mapa")</f>
        <v>🔗 Ver Mapa</v>
      </c>
    </row>
    <row r="1107" spans="1:12" ht="43.5" x14ac:dyDescent="0.35">
      <c r="A1107" s="5" t="s">
        <v>206</v>
      </c>
      <c r="B1107" s="5" t="s">
        <v>207</v>
      </c>
      <c r="C1107" s="5" t="s">
        <v>208</v>
      </c>
      <c r="D1107" s="5" t="s">
        <v>34</v>
      </c>
      <c r="E1107" s="5" t="s">
        <v>209</v>
      </c>
      <c r="F1107" s="5" t="s">
        <v>210</v>
      </c>
      <c r="G1107" s="5" t="s">
        <v>211</v>
      </c>
      <c r="H1107" s="5" t="s">
        <v>212</v>
      </c>
      <c r="I1107" s="5" t="s">
        <v>213</v>
      </c>
      <c r="J1107" s="5">
        <v>17.381160000000001</v>
      </c>
      <c r="K1107" s="5">
        <v>-96.160250000000005</v>
      </c>
      <c r="L1107" s="5" t="str">
        <f>HYPERLINK("https://maps.google.com/?q=17.38116,-96.160250000000005", "🔗 Ver Mapa")</f>
        <v>🔗 Ver Mapa</v>
      </c>
    </row>
    <row r="1108" spans="1:12" ht="43.5" x14ac:dyDescent="0.35">
      <c r="A1108" s="6" t="s">
        <v>206</v>
      </c>
      <c r="B1108" s="6" t="s">
        <v>207</v>
      </c>
      <c r="C1108" s="6" t="s">
        <v>208</v>
      </c>
      <c r="D1108" s="6" t="s">
        <v>34</v>
      </c>
      <c r="E1108" s="6" t="s">
        <v>209</v>
      </c>
      <c r="F1108" s="6" t="s">
        <v>210</v>
      </c>
      <c r="G1108" s="6" t="s">
        <v>211</v>
      </c>
      <c r="H1108" s="6" t="s">
        <v>212</v>
      </c>
      <c r="I1108" s="6" t="s">
        <v>213</v>
      </c>
      <c r="J1108" s="6">
        <v>17.381170000000001</v>
      </c>
      <c r="K1108" s="6">
        <v>-96.163477999999998</v>
      </c>
      <c r="L1108" s="6" t="str">
        <f>HYPERLINK("https://maps.google.com/?q=17.38117,-96.163477999999998", "🔗 Ver Mapa")</f>
        <v>🔗 Ver Mapa</v>
      </c>
    </row>
    <row r="1109" spans="1:12" ht="43.5" x14ac:dyDescent="0.35">
      <c r="A1109" s="5" t="s">
        <v>206</v>
      </c>
      <c r="B1109" s="5" t="s">
        <v>207</v>
      </c>
      <c r="C1109" s="5" t="s">
        <v>208</v>
      </c>
      <c r="D1109" s="5" t="s">
        <v>34</v>
      </c>
      <c r="E1109" s="5" t="s">
        <v>209</v>
      </c>
      <c r="F1109" s="5" t="s">
        <v>210</v>
      </c>
      <c r="G1109" s="5" t="s">
        <v>211</v>
      </c>
      <c r="H1109" s="5" t="s">
        <v>212</v>
      </c>
      <c r="I1109" s="5" t="s">
        <v>213</v>
      </c>
      <c r="J1109" s="5">
        <v>17.381183</v>
      </c>
      <c r="K1109" s="5">
        <v>-96.160445999999993</v>
      </c>
      <c r="L1109" s="5" t="str">
        <f>HYPERLINK("https://maps.google.com/?q=17.381183,-96.160445999999993", "🔗 Ver Mapa")</f>
        <v>🔗 Ver Mapa</v>
      </c>
    </row>
    <row r="1110" spans="1:12" ht="43.5" x14ac:dyDescent="0.35">
      <c r="A1110" s="6" t="s">
        <v>206</v>
      </c>
      <c r="B1110" s="6" t="s">
        <v>207</v>
      </c>
      <c r="C1110" s="6" t="s">
        <v>208</v>
      </c>
      <c r="D1110" s="6" t="s">
        <v>34</v>
      </c>
      <c r="E1110" s="6" t="s">
        <v>209</v>
      </c>
      <c r="F1110" s="6" t="s">
        <v>210</v>
      </c>
      <c r="G1110" s="6" t="s">
        <v>211</v>
      </c>
      <c r="H1110" s="6" t="s">
        <v>212</v>
      </c>
      <c r="I1110" s="6" t="s">
        <v>213</v>
      </c>
      <c r="J1110" s="6">
        <v>17.381218000000001</v>
      </c>
      <c r="K1110" s="6">
        <v>-96.161169999999998</v>
      </c>
      <c r="L1110" s="6" t="str">
        <f>HYPERLINK("https://maps.google.com/?q=17.381218,-96.161169999999998", "🔗 Ver Mapa")</f>
        <v>🔗 Ver Mapa</v>
      </c>
    </row>
    <row r="1111" spans="1:12" ht="43.5" x14ac:dyDescent="0.35">
      <c r="A1111" s="5" t="s">
        <v>206</v>
      </c>
      <c r="B1111" s="5" t="s">
        <v>207</v>
      </c>
      <c r="C1111" s="5" t="s">
        <v>208</v>
      </c>
      <c r="D1111" s="5" t="s">
        <v>34</v>
      </c>
      <c r="E1111" s="5" t="s">
        <v>209</v>
      </c>
      <c r="F1111" s="5" t="s">
        <v>210</v>
      </c>
      <c r="G1111" s="5" t="s">
        <v>211</v>
      </c>
      <c r="H1111" s="5" t="s">
        <v>212</v>
      </c>
      <c r="I1111" s="5" t="s">
        <v>213</v>
      </c>
      <c r="J1111" s="5">
        <v>17.381219000000002</v>
      </c>
      <c r="K1111" s="5">
        <v>-96.160256000000004</v>
      </c>
      <c r="L1111" s="5" t="str">
        <f>HYPERLINK("https://maps.google.com/?q=17.381219,-96.160256000000004", "🔗 Ver Mapa")</f>
        <v>🔗 Ver Mapa</v>
      </c>
    </row>
    <row r="1112" spans="1:12" ht="43.5" x14ac:dyDescent="0.35">
      <c r="A1112" s="6" t="s">
        <v>206</v>
      </c>
      <c r="B1112" s="6" t="s">
        <v>207</v>
      </c>
      <c r="C1112" s="6" t="s">
        <v>208</v>
      </c>
      <c r="D1112" s="6" t="s">
        <v>34</v>
      </c>
      <c r="E1112" s="6" t="s">
        <v>209</v>
      </c>
      <c r="F1112" s="6" t="s">
        <v>210</v>
      </c>
      <c r="G1112" s="6" t="s">
        <v>211</v>
      </c>
      <c r="H1112" s="6" t="s">
        <v>212</v>
      </c>
      <c r="I1112" s="6" t="s">
        <v>213</v>
      </c>
      <c r="J1112" s="6">
        <v>17.381225000000001</v>
      </c>
      <c r="K1112" s="6">
        <v>-96.161112000000003</v>
      </c>
      <c r="L1112" s="6" t="str">
        <f>HYPERLINK("https://maps.google.com/?q=17.381225,-96.161112000000003", "🔗 Ver Mapa")</f>
        <v>🔗 Ver Mapa</v>
      </c>
    </row>
    <row r="1113" spans="1:12" ht="43.5" x14ac:dyDescent="0.35">
      <c r="A1113" s="5" t="s">
        <v>206</v>
      </c>
      <c r="B1113" s="5" t="s">
        <v>207</v>
      </c>
      <c r="C1113" s="5" t="s">
        <v>208</v>
      </c>
      <c r="D1113" s="5" t="s">
        <v>34</v>
      </c>
      <c r="E1113" s="5" t="s">
        <v>209</v>
      </c>
      <c r="F1113" s="5" t="s">
        <v>210</v>
      </c>
      <c r="G1113" s="5" t="s">
        <v>211</v>
      </c>
      <c r="H1113" s="5" t="s">
        <v>212</v>
      </c>
      <c r="I1113" s="5" t="s">
        <v>213</v>
      </c>
      <c r="J1113" s="5">
        <v>17.381243999999999</v>
      </c>
      <c r="K1113" s="5">
        <v>-96.162374999999997</v>
      </c>
      <c r="L1113" s="5" t="str">
        <f>HYPERLINK("https://maps.google.com/?q=17.381244,-96.162374999999997", "🔗 Ver Mapa")</f>
        <v>🔗 Ver Mapa</v>
      </c>
    </row>
    <row r="1114" spans="1:12" ht="43.5" x14ac:dyDescent="0.35">
      <c r="A1114" s="6" t="s">
        <v>206</v>
      </c>
      <c r="B1114" s="6" t="s">
        <v>207</v>
      </c>
      <c r="C1114" s="6" t="s">
        <v>208</v>
      </c>
      <c r="D1114" s="6" t="s">
        <v>34</v>
      </c>
      <c r="E1114" s="6" t="s">
        <v>209</v>
      </c>
      <c r="F1114" s="6" t="s">
        <v>210</v>
      </c>
      <c r="G1114" s="6" t="s">
        <v>211</v>
      </c>
      <c r="H1114" s="6" t="s">
        <v>212</v>
      </c>
      <c r="I1114" s="6" t="s">
        <v>213</v>
      </c>
      <c r="J1114" s="6">
        <v>17.381271000000002</v>
      </c>
      <c r="K1114" s="6">
        <v>-96.160165000000006</v>
      </c>
      <c r="L1114" s="6" t="str">
        <f>HYPERLINK("https://maps.google.com/?q=17.381271,-96.160165000000006", "🔗 Ver Mapa")</f>
        <v>🔗 Ver Mapa</v>
      </c>
    </row>
    <row r="1115" spans="1:12" ht="43.5" x14ac:dyDescent="0.35">
      <c r="A1115" s="5" t="s">
        <v>206</v>
      </c>
      <c r="B1115" s="5" t="s">
        <v>207</v>
      </c>
      <c r="C1115" s="5" t="s">
        <v>208</v>
      </c>
      <c r="D1115" s="5" t="s">
        <v>34</v>
      </c>
      <c r="E1115" s="5" t="s">
        <v>209</v>
      </c>
      <c r="F1115" s="5" t="s">
        <v>210</v>
      </c>
      <c r="G1115" s="5" t="s">
        <v>211</v>
      </c>
      <c r="H1115" s="5" t="s">
        <v>212</v>
      </c>
      <c r="I1115" s="5" t="s">
        <v>213</v>
      </c>
      <c r="J1115" s="5">
        <v>17.381273</v>
      </c>
      <c r="K1115" s="5">
        <v>-96.161748000000003</v>
      </c>
      <c r="L1115" s="5" t="str">
        <f>HYPERLINK("https://maps.google.com/?q=17.381273,-96.161748000000003", "🔗 Ver Mapa")</f>
        <v>🔗 Ver Mapa</v>
      </c>
    </row>
    <row r="1116" spans="1:12" ht="43.5" x14ac:dyDescent="0.35">
      <c r="A1116" s="6" t="s">
        <v>206</v>
      </c>
      <c r="B1116" s="6" t="s">
        <v>207</v>
      </c>
      <c r="C1116" s="6" t="s">
        <v>208</v>
      </c>
      <c r="D1116" s="6" t="s">
        <v>34</v>
      </c>
      <c r="E1116" s="6" t="s">
        <v>209</v>
      </c>
      <c r="F1116" s="6" t="s">
        <v>210</v>
      </c>
      <c r="G1116" s="6" t="s">
        <v>211</v>
      </c>
      <c r="H1116" s="6" t="s">
        <v>212</v>
      </c>
      <c r="I1116" s="6" t="s">
        <v>213</v>
      </c>
      <c r="J1116" s="6">
        <v>17.381283</v>
      </c>
      <c r="K1116" s="6">
        <v>-96.161787000000004</v>
      </c>
      <c r="L1116" s="6" t="str">
        <f>HYPERLINK("https://maps.google.com/?q=17.381283,-96.161787000000004", "🔗 Ver Mapa")</f>
        <v>🔗 Ver Mapa</v>
      </c>
    </row>
    <row r="1117" spans="1:12" ht="43.5" x14ac:dyDescent="0.35">
      <c r="A1117" s="5" t="s">
        <v>206</v>
      </c>
      <c r="B1117" s="5" t="s">
        <v>207</v>
      </c>
      <c r="C1117" s="5" t="s">
        <v>208</v>
      </c>
      <c r="D1117" s="5" t="s">
        <v>34</v>
      </c>
      <c r="E1117" s="5" t="s">
        <v>209</v>
      </c>
      <c r="F1117" s="5" t="s">
        <v>210</v>
      </c>
      <c r="G1117" s="5" t="s">
        <v>211</v>
      </c>
      <c r="H1117" s="5" t="s">
        <v>212</v>
      </c>
      <c r="I1117" s="5" t="s">
        <v>213</v>
      </c>
      <c r="J1117" s="5">
        <v>17.381295999999999</v>
      </c>
      <c r="K1117" s="5">
        <v>-96.160487000000003</v>
      </c>
      <c r="L1117" s="5" t="str">
        <f>HYPERLINK("https://maps.google.com/?q=17.381296,-96.160487000000003", "🔗 Ver Mapa")</f>
        <v>🔗 Ver Mapa</v>
      </c>
    </row>
    <row r="1118" spans="1:12" ht="43.5" x14ac:dyDescent="0.35">
      <c r="A1118" s="6" t="s">
        <v>206</v>
      </c>
      <c r="B1118" s="6" t="s">
        <v>207</v>
      </c>
      <c r="C1118" s="6" t="s">
        <v>208</v>
      </c>
      <c r="D1118" s="6" t="s">
        <v>34</v>
      </c>
      <c r="E1118" s="6" t="s">
        <v>209</v>
      </c>
      <c r="F1118" s="6" t="s">
        <v>210</v>
      </c>
      <c r="G1118" s="6" t="s">
        <v>211</v>
      </c>
      <c r="H1118" s="6" t="s">
        <v>212</v>
      </c>
      <c r="I1118" s="6" t="s">
        <v>213</v>
      </c>
      <c r="J1118" s="6">
        <v>17.381360999999998</v>
      </c>
      <c r="K1118" s="6">
        <v>-96.161036999999993</v>
      </c>
      <c r="L1118" s="6" t="str">
        <f>HYPERLINK("https://maps.google.com/?q=17.381361,-96.161036999999993", "🔗 Ver Mapa")</f>
        <v>🔗 Ver Mapa</v>
      </c>
    </row>
    <row r="1119" spans="1:12" ht="43.5" x14ac:dyDescent="0.35">
      <c r="A1119" s="5" t="s">
        <v>206</v>
      </c>
      <c r="B1119" s="5" t="s">
        <v>207</v>
      </c>
      <c r="C1119" s="5" t="s">
        <v>208</v>
      </c>
      <c r="D1119" s="5" t="s">
        <v>34</v>
      </c>
      <c r="E1119" s="5" t="s">
        <v>209</v>
      </c>
      <c r="F1119" s="5" t="s">
        <v>210</v>
      </c>
      <c r="G1119" s="5" t="s">
        <v>211</v>
      </c>
      <c r="H1119" s="5" t="s">
        <v>212</v>
      </c>
      <c r="I1119" s="5" t="s">
        <v>213</v>
      </c>
      <c r="J1119" s="5">
        <v>17.381381999999999</v>
      </c>
      <c r="K1119" s="5">
        <v>-96.159881999999996</v>
      </c>
      <c r="L1119" s="5" t="str">
        <f>HYPERLINK("https://maps.google.com/?q=17.381382,-96.159881999999996", "🔗 Ver Mapa")</f>
        <v>🔗 Ver Mapa</v>
      </c>
    </row>
    <row r="1120" spans="1:12" ht="43.5" x14ac:dyDescent="0.35">
      <c r="A1120" s="6" t="s">
        <v>206</v>
      </c>
      <c r="B1120" s="6" t="s">
        <v>207</v>
      </c>
      <c r="C1120" s="6" t="s">
        <v>208</v>
      </c>
      <c r="D1120" s="6" t="s">
        <v>34</v>
      </c>
      <c r="E1120" s="6" t="s">
        <v>209</v>
      </c>
      <c r="F1120" s="6" t="s">
        <v>210</v>
      </c>
      <c r="G1120" s="6" t="s">
        <v>211</v>
      </c>
      <c r="H1120" s="6" t="s">
        <v>212</v>
      </c>
      <c r="I1120" s="6" t="s">
        <v>213</v>
      </c>
      <c r="J1120" s="6">
        <v>17.381395999999999</v>
      </c>
      <c r="K1120" s="6">
        <v>-96.160039999999995</v>
      </c>
      <c r="L1120" s="6" t="str">
        <f>HYPERLINK("https://maps.google.com/?q=17.381396,-96.160039999999995", "🔗 Ver Mapa")</f>
        <v>🔗 Ver Mapa</v>
      </c>
    </row>
    <row r="1121" spans="1:12" ht="43.5" x14ac:dyDescent="0.35">
      <c r="A1121" s="5" t="s">
        <v>206</v>
      </c>
      <c r="B1121" s="5" t="s">
        <v>207</v>
      </c>
      <c r="C1121" s="5" t="s">
        <v>208</v>
      </c>
      <c r="D1121" s="5" t="s">
        <v>34</v>
      </c>
      <c r="E1121" s="5" t="s">
        <v>209</v>
      </c>
      <c r="F1121" s="5" t="s">
        <v>210</v>
      </c>
      <c r="G1121" s="5" t="s">
        <v>211</v>
      </c>
      <c r="H1121" s="5" t="s">
        <v>212</v>
      </c>
      <c r="I1121" s="5" t="s">
        <v>213</v>
      </c>
      <c r="J1121" s="5">
        <v>17.381412999999998</v>
      </c>
      <c r="K1121" s="5">
        <v>-96.160472999999996</v>
      </c>
      <c r="L1121" s="5" t="str">
        <f>HYPERLINK("https://maps.google.com/?q=17.381413,-96.160472999999996", "🔗 Ver Mapa")</f>
        <v>🔗 Ver Mapa</v>
      </c>
    </row>
    <row r="1122" spans="1:12" ht="43.5" x14ac:dyDescent="0.35">
      <c r="A1122" s="6" t="s">
        <v>206</v>
      </c>
      <c r="B1122" s="6" t="s">
        <v>207</v>
      </c>
      <c r="C1122" s="6" t="s">
        <v>208</v>
      </c>
      <c r="D1122" s="6" t="s">
        <v>34</v>
      </c>
      <c r="E1122" s="6" t="s">
        <v>209</v>
      </c>
      <c r="F1122" s="6" t="s">
        <v>210</v>
      </c>
      <c r="G1122" s="6" t="s">
        <v>211</v>
      </c>
      <c r="H1122" s="6" t="s">
        <v>212</v>
      </c>
      <c r="I1122" s="6" t="s">
        <v>213</v>
      </c>
      <c r="J1122" s="6">
        <v>17.381413999999999</v>
      </c>
      <c r="K1122" s="6">
        <v>-96.161412999999996</v>
      </c>
      <c r="L1122" s="6" t="str">
        <f>HYPERLINK("https://maps.google.com/?q=17.381414,-96.161412999999996", "🔗 Ver Mapa")</f>
        <v>🔗 Ver Mapa</v>
      </c>
    </row>
    <row r="1123" spans="1:12" ht="43.5" x14ac:dyDescent="0.35">
      <c r="A1123" s="5" t="s">
        <v>206</v>
      </c>
      <c r="B1123" s="5" t="s">
        <v>207</v>
      </c>
      <c r="C1123" s="5" t="s">
        <v>208</v>
      </c>
      <c r="D1123" s="5" t="s">
        <v>34</v>
      </c>
      <c r="E1123" s="5" t="s">
        <v>209</v>
      </c>
      <c r="F1123" s="5" t="s">
        <v>210</v>
      </c>
      <c r="G1123" s="5" t="s">
        <v>211</v>
      </c>
      <c r="H1123" s="5" t="s">
        <v>212</v>
      </c>
      <c r="I1123" s="5" t="s">
        <v>213</v>
      </c>
      <c r="J1123" s="5">
        <v>17.381423000000002</v>
      </c>
      <c r="K1123" s="5">
        <v>-96.161430999999993</v>
      </c>
      <c r="L1123" s="5" t="str">
        <f>HYPERLINK("https://maps.google.com/?q=17.381423,-96.161430999999993", "🔗 Ver Mapa")</f>
        <v>🔗 Ver Mapa</v>
      </c>
    </row>
    <row r="1124" spans="1:12" ht="43.5" x14ac:dyDescent="0.35">
      <c r="A1124" s="6" t="s">
        <v>206</v>
      </c>
      <c r="B1124" s="6" t="s">
        <v>207</v>
      </c>
      <c r="C1124" s="6" t="s">
        <v>208</v>
      </c>
      <c r="D1124" s="6" t="s">
        <v>34</v>
      </c>
      <c r="E1124" s="6" t="s">
        <v>209</v>
      </c>
      <c r="F1124" s="6" t="s">
        <v>210</v>
      </c>
      <c r="G1124" s="6" t="s">
        <v>211</v>
      </c>
      <c r="H1124" s="6" t="s">
        <v>212</v>
      </c>
      <c r="I1124" s="6" t="s">
        <v>213</v>
      </c>
      <c r="J1124" s="6">
        <v>17.381440000000001</v>
      </c>
      <c r="K1124" s="6">
        <v>-96.160149000000004</v>
      </c>
      <c r="L1124" s="6" t="str">
        <f>HYPERLINK("https://maps.google.com/?q=17.38144,-96.160149000000004", "🔗 Ver Mapa")</f>
        <v>🔗 Ver Mapa</v>
      </c>
    </row>
    <row r="1125" spans="1:12" ht="43.5" x14ac:dyDescent="0.35">
      <c r="A1125" s="5" t="s">
        <v>206</v>
      </c>
      <c r="B1125" s="5" t="s">
        <v>207</v>
      </c>
      <c r="C1125" s="5" t="s">
        <v>208</v>
      </c>
      <c r="D1125" s="5" t="s">
        <v>34</v>
      </c>
      <c r="E1125" s="5" t="s">
        <v>209</v>
      </c>
      <c r="F1125" s="5" t="s">
        <v>210</v>
      </c>
      <c r="G1125" s="5" t="s">
        <v>211</v>
      </c>
      <c r="H1125" s="5" t="s">
        <v>212</v>
      </c>
      <c r="I1125" s="5" t="s">
        <v>213</v>
      </c>
      <c r="J1125" s="5">
        <v>17.381488999999998</v>
      </c>
      <c r="K1125" s="5">
        <v>-96.161598999999995</v>
      </c>
      <c r="L1125" s="5" t="str">
        <f>HYPERLINK("https://maps.google.com/?q=17.381489,-96.161598999999995", "🔗 Ver Mapa")</f>
        <v>🔗 Ver Mapa</v>
      </c>
    </row>
    <row r="1126" spans="1:12" ht="43.5" x14ac:dyDescent="0.35">
      <c r="A1126" s="6" t="s">
        <v>206</v>
      </c>
      <c r="B1126" s="6" t="s">
        <v>207</v>
      </c>
      <c r="C1126" s="6" t="s">
        <v>208</v>
      </c>
      <c r="D1126" s="6" t="s">
        <v>34</v>
      </c>
      <c r="E1126" s="6" t="s">
        <v>209</v>
      </c>
      <c r="F1126" s="6" t="s">
        <v>210</v>
      </c>
      <c r="G1126" s="6" t="s">
        <v>211</v>
      </c>
      <c r="H1126" s="6" t="s">
        <v>212</v>
      </c>
      <c r="I1126" s="6" t="s">
        <v>213</v>
      </c>
      <c r="J1126" s="6">
        <v>17.381502000000001</v>
      </c>
      <c r="K1126" s="6">
        <v>-96.165103999999999</v>
      </c>
      <c r="L1126" s="6" t="str">
        <f>HYPERLINK("https://maps.google.com/?q=17.381502,-96.165103999999999", "🔗 Ver Mapa")</f>
        <v>🔗 Ver Mapa</v>
      </c>
    </row>
    <row r="1127" spans="1:12" ht="43.5" x14ac:dyDescent="0.35">
      <c r="A1127" s="5" t="s">
        <v>206</v>
      </c>
      <c r="B1127" s="5" t="s">
        <v>207</v>
      </c>
      <c r="C1127" s="5" t="s">
        <v>208</v>
      </c>
      <c r="D1127" s="5" t="s">
        <v>34</v>
      </c>
      <c r="E1127" s="5" t="s">
        <v>209</v>
      </c>
      <c r="F1127" s="5" t="s">
        <v>210</v>
      </c>
      <c r="G1127" s="5" t="s">
        <v>211</v>
      </c>
      <c r="H1127" s="5" t="s">
        <v>212</v>
      </c>
      <c r="I1127" s="5" t="s">
        <v>213</v>
      </c>
      <c r="J1127" s="5">
        <v>17.381510624212002</v>
      </c>
      <c r="K1127" s="5">
        <v>-96.160025493316994</v>
      </c>
      <c r="L1127" s="5" t="str">
        <f>HYPERLINK("https://maps.google.com/?q=17.38151062421174,-96.160025493316979", "🔗 Ver Mapa")</f>
        <v>🔗 Ver Mapa</v>
      </c>
    </row>
    <row r="1128" spans="1:12" ht="43.5" x14ac:dyDescent="0.35">
      <c r="A1128" s="6" t="s">
        <v>206</v>
      </c>
      <c r="B1128" s="6" t="s">
        <v>207</v>
      </c>
      <c r="C1128" s="6" t="s">
        <v>208</v>
      </c>
      <c r="D1128" s="6" t="s">
        <v>34</v>
      </c>
      <c r="E1128" s="6" t="s">
        <v>209</v>
      </c>
      <c r="F1128" s="6" t="s">
        <v>210</v>
      </c>
      <c r="G1128" s="6" t="s">
        <v>211</v>
      </c>
      <c r="H1128" s="6" t="s">
        <v>212</v>
      </c>
      <c r="I1128" s="6" t="s">
        <v>213</v>
      </c>
      <c r="J1128" s="6">
        <v>17.381511</v>
      </c>
      <c r="K1128" s="6">
        <v>-96.160025000000005</v>
      </c>
      <c r="L1128" s="6" t="str">
        <f>HYPERLINK("https://maps.google.com/?q=17.381511,-96.160025000000005", "🔗 Ver Mapa")</f>
        <v>🔗 Ver Mapa</v>
      </c>
    </row>
    <row r="1129" spans="1:12" ht="43.5" x14ac:dyDescent="0.35">
      <c r="A1129" s="5" t="s">
        <v>206</v>
      </c>
      <c r="B1129" s="5" t="s">
        <v>207</v>
      </c>
      <c r="C1129" s="5" t="s">
        <v>208</v>
      </c>
      <c r="D1129" s="5" t="s">
        <v>34</v>
      </c>
      <c r="E1129" s="5" t="s">
        <v>209</v>
      </c>
      <c r="F1129" s="5" t="s">
        <v>210</v>
      </c>
      <c r="G1129" s="5" t="s">
        <v>211</v>
      </c>
      <c r="H1129" s="5" t="s">
        <v>212</v>
      </c>
      <c r="I1129" s="5" t="s">
        <v>213</v>
      </c>
      <c r="J1129" s="5">
        <v>17.381519999999998</v>
      </c>
      <c r="K1129" s="5">
        <v>-96.161578000000006</v>
      </c>
      <c r="L1129" s="5" t="str">
        <f>HYPERLINK("https://maps.google.com/?q=17.38152,-96.161578000000006", "🔗 Ver Mapa")</f>
        <v>🔗 Ver Mapa</v>
      </c>
    </row>
    <row r="1130" spans="1:12" ht="43.5" x14ac:dyDescent="0.35">
      <c r="A1130" s="6" t="s">
        <v>206</v>
      </c>
      <c r="B1130" s="6" t="s">
        <v>207</v>
      </c>
      <c r="C1130" s="6" t="s">
        <v>208</v>
      </c>
      <c r="D1130" s="6" t="s">
        <v>34</v>
      </c>
      <c r="E1130" s="6" t="s">
        <v>209</v>
      </c>
      <c r="F1130" s="6" t="s">
        <v>210</v>
      </c>
      <c r="G1130" s="6" t="s">
        <v>211</v>
      </c>
      <c r="H1130" s="6" t="s">
        <v>212</v>
      </c>
      <c r="I1130" s="6" t="s">
        <v>213</v>
      </c>
      <c r="J1130" s="6">
        <v>17.381530999999999</v>
      </c>
      <c r="K1130" s="6">
        <v>-96.159901000000005</v>
      </c>
      <c r="L1130" s="6" t="str">
        <f>HYPERLINK("https://maps.google.com/?q=17.381531,-96.159901000000005", "🔗 Ver Mapa")</f>
        <v>🔗 Ver Mapa</v>
      </c>
    </row>
    <row r="1131" spans="1:12" ht="43.5" x14ac:dyDescent="0.35">
      <c r="A1131" s="5" t="s">
        <v>206</v>
      </c>
      <c r="B1131" s="5" t="s">
        <v>207</v>
      </c>
      <c r="C1131" s="5" t="s">
        <v>208</v>
      </c>
      <c r="D1131" s="5" t="s">
        <v>34</v>
      </c>
      <c r="E1131" s="5" t="s">
        <v>209</v>
      </c>
      <c r="F1131" s="5" t="s">
        <v>210</v>
      </c>
      <c r="G1131" s="5" t="s">
        <v>211</v>
      </c>
      <c r="H1131" s="5" t="s">
        <v>212</v>
      </c>
      <c r="I1131" s="5" t="s">
        <v>213</v>
      </c>
      <c r="J1131" s="5">
        <v>17.381540999999999</v>
      </c>
      <c r="K1131" s="5">
        <v>-96.161351999999994</v>
      </c>
      <c r="L1131" s="5" t="str">
        <f>HYPERLINK("https://maps.google.com/?q=17.381541,-96.161351999999994", "🔗 Ver Mapa")</f>
        <v>🔗 Ver Mapa</v>
      </c>
    </row>
    <row r="1132" spans="1:12" ht="43.5" x14ac:dyDescent="0.35">
      <c r="A1132" s="6" t="s">
        <v>206</v>
      </c>
      <c r="B1132" s="6" t="s">
        <v>207</v>
      </c>
      <c r="C1132" s="6" t="s">
        <v>208</v>
      </c>
      <c r="D1132" s="6" t="s">
        <v>34</v>
      </c>
      <c r="E1132" s="6" t="s">
        <v>209</v>
      </c>
      <c r="F1132" s="6" t="s">
        <v>210</v>
      </c>
      <c r="G1132" s="6" t="s">
        <v>211</v>
      </c>
      <c r="H1132" s="6" t="s">
        <v>212</v>
      </c>
      <c r="I1132" s="6" t="s">
        <v>213</v>
      </c>
      <c r="J1132" s="6">
        <v>17.381554000000001</v>
      </c>
      <c r="K1132" s="6">
        <v>-96.159944999999993</v>
      </c>
      <c r="L1132" s="6" t="str">
        <f>HYPERLINK("https://maps.google.com/?q=17.381554,-96.159944999999993", "🔗 Ver Mapa")</f>
        <v>🔗 Ver Mapa</v>
      </c>
    </row>
    <row r="1133" spans="1:12" ht="43.5" x14ac:dyDescent="0.35">
      <c r="A1133" s="5" t="s">
        <v>206</v>
      </c>
      <c r="B1133" s="5" t="s">
        <v>207</v>
      </c>
      <c r="C1133" s="5" t="s">
        <v>208</v>
      </c>
      <c r="D1133" s="5" t="s">
        <v>34</v>
      </c>
      <c r="E1133" s="5" t="s">
        <v>209</v>
      </c>
      <c r="F1133" s="5" t="s">
        <v>210</v>
      </c>
      <c r="G1133" s="5" t="s">
        <v>211</v>
      </c>
      <c r="H1133" s="5" t="s">
        <v>212</v>
      </c>
      <c r="I1133" s="5" t="s">
        <v>213</v>
      </c>
      <c r="J1133" s="5">
        <v>17.381565999999999</v>
      </c>
      <c r="K1133" s="5">
        <v>-96.160472999999996</v>
      </c>
      <c r="L1133" s="5" t="str">
        <f>HYPERLINK("https://maps.google.com/?q=17.381566,-96.160472999999996", "🔗 Ver Mapa")</f>
        <v>🔗 Ver Mapa</v>
      </c>
    </row>
    <row r="1134" spans="1:12" ht="43.5" x14ac:dyDescent="0.35">
      <c r="A1134" s="6" t="s">
        <v>206</v>
      </c>
      <c r="B1134" s="6" t="s">
        <v>207</v>
      </c>
      <c r="C1134" s="6" t="s">
        <v>208</v>
      </c>
      <c r="D1134" s="6" t="s">
        <v>34</v>
      </c>
      <c r="E1134" s="6" t="s">
        <v>209</v>
      </c>
      <c r="F1134" s="6" t="s">
        <v>210</v>
      </c>
      <c r="G1134" s="6" t="s">
        <v>211</v>
      </c>
      <c r="H1134" s="6" t="s">
        <v>212</v>
      </c>
      <c r="I1134" s="6" t="s">
        <v>213</v>
      </c>
      <c r="J1134" s="6">
        <v>17.381582999999999</v>
      </c>
      <c r="K1134" s="6">
        <v>-96.161061000000004</v>
      </c>
      <c r="L1134" s="6" t="str">
        <f>HYPERLINK("https://maps.google.com/?q=17.381583,-96.161061000000004", "🔗 Ver Mapa")</f>
        <v>🔗 Ver Mapa</v>
      </c>
    </row>
    <row r="1135" spans="1:12" ht="43.5" x14ac:dyDescent="0.35">
      <c r="A1135" s="5" t="s">
        <v>206</v>
      </c>
      <c r="B1135" s="5" t="s">
        <v>207</v>
      </c>
      <c r="C1135" s="5" t="s">
        <v>208</v>
      </c>
      <c r="D1135" s="5" t="s">
        <v>34</v>
      </c>
      <c r="E1135" s="5" t="s">
        <v>209</v>
      </c>
      <c r="F1135" s="5" t="s">
        <v>210</v>
      </c>
      <c r="G1135" s="5" t="s">
        <v>211</v>
      </c>
      <c r="H1135" s="5" t="s">
        <v>212</v>
      </c>
      <c r="I1135" s="5" t="s">
        <v>213</v>
      </c>
      <c r="J1135" s="5">
        <v>17.381585000000001</v>
      </c>
      <c r="K1135" s="5">
        <v>-96.161824999999993</v>
      </c>
      <c r="L1135" s="5" t="str">
        <f>HYPERLINK("https://maps.google.com/?q=17.381585,-96.161824999999993", "🔗 Ver Mapa")</f>
        <v>🔗 Ver Mapa</v>
      </c>
    </row>
    <row r="1136" spans="1:12" ht="43.5" x14ac:dyDescent="0.35">
      <c r="A1136" s="6" t="s">
        <v>206</v>
      </c>
      <c r="B1136" s="6" t="s">
        <v>207</v>
      </c>
      <c r="C1136" s="6" t="s">
        <v>208</v>
      </c>
      <c r="D1136" s="6" t="s">
        <v>34</v>
      </c>
      <c r="E1136" s="6" t="s">
        <v>209</v>
      </c>
      <c r="F1136" s="6" t="s">
        <v>210</v>
      </c>
      <c r="G1136" s="6" t="s">
        <v>211</v>
      </c>
      <c r="H1136" s="6" t="s">
        <v>212</v>
      </c>
      <c r="I1136" s="6" t="s">
        <v>213</v>
      </c>
      <c r="J1136" s="6">
        <v>17.381647999999998</v>
      </c>
      <c r="K1136" s="6">
        <v>-96.162064000000001</v>
      </c>
      <c r="L1136" s="6" t="str">
        <f>HYPERLINK("https://maps.google.com/?q=17.381648,-96.162064000000001", "🔗 Ver Mapa")</f>
        <v>🔗 Ver Mapa</v>
      </c>
    </row>
    <row r="1137" spans="1:12" ht="43.5" x14ac:dyDescent="0.35">
      <c r="A1137" s="5" t="s">
        <v>206</v>
      </c>
      <c r="B1137" s="5" t="s">
        <v>207</v>
      </c>
      <c r="C1137" s="5" t="s">
        <v>208</v>
      </c>
      <c r="D1137" s="5" t="s">
        <v>34</v>
      </c>
      <c r="E1137" s="5" t="s">
        <v>209</v>
      </c>
      <c r="F1137" s="5" t="s">
        <v>210</v>
      </c>
      <c r="G1137" s="5" t="s">
        <v>211</v>
      </c>
      <c r="H1137" s="5" t="s">
        <v>212</v>
      </c>
      <c r="I1137" s="5" t="s">
        <v>213</v>
      </c>
      <c r="J1137" s="5">
        <v>17.381661000000001</v>
      </c>
      <c r="K1137" s="5">
        <v>-96.164327</v>
      </c>
      <c r="L1137" s="5" t="str">
        <f>HYPERLINK("https://maps.google.com/?q=17.381661,-96.164327", "🔗 Ver Mapa")</f>
        <v>🔗 Ver Mapa</v>
      </c>
    </row>
    <row r="1138" spans="1:12" ht="43.5" x14ac:dyDescent="0.35">
      <c r="A1138" s="6" t="s">
        <v>206</v>
      </c>
      <c r="B1138" s="6" t="s">
        <v>207</v>
      </c>
      <c r="C1138" s="6" t="s">
        <v>208</v>
      </c>
      <c r="D1138" s="6" t="s">
        <v>34</v>
      </c>
      <c r="E1138" s="6" t="s">
        <v>209</v>
      </c>
      <c r="F1138" s="6" t="s">
        <v>210</v>
      </c>
      <c r="G1138" s="6" t="s">
        <v>211</v>
      </c>
      <c r="H1138" s="6" t="s">
        <v>212</v>
      </c>
      <c r="I1138" s="6" t="s">
        <v>213</v>
      </c>
      <c r="J1138" s="6">
        <v>17.381684</v>
      </c>
      <c r="K1138" s="6">
        <v>-96.160413000000005</v>
      </c>
      <c r="L1138" s="6" t="str">
        <f>HYPERLINK("https://maps.google.com/?q=17.381684,-96.160413000000005", "🔗 Ver Mapa")</f>
        <v>🔗 Ver Mapa</v>
      </c>
    </row>
    <row r="1139" spans="1:12" ht="43.5" x14ac:dyDescent="0.35">
      <c r="A1139" s="5" t="s">
        <v>206</v>
      </c>
      <c r="B1139" s="5" t="s">
        <v>207</v>
      </c>
      <c r="C1139" s="5" t="s">
        <v>208</v>
      </c>
      <c r="D1139" s="5" t="s">
        <v>34</v>
      </c>
      <c r="E1139" s="5" t="s">
        <v>209</v>
      </c>
      <c r="F1139" s="5" t="s">
        <v>210</v>
      </c>
      <c r="G1139" s="5" t="s">
        <v>211</v>
      </c>
      <c r="H1139" s="5" t="s">
        <v>212</v>
      </c>
      <c r="I1139" s="5" t="s">
        <v>213</v>
      </c>
      <c r="J1139" s="5">
        <v>17.381696000000002</v>
      </c>
      <c r="K1139" s="5">
        <v>-96.162366000000006</v>
      </c>
      <c r="L1139" s="5" t="str">
        <f>HYPERLINK("https://maps.google.com/?q=17.381696,-96.162366000000006", "🔗 Ver Mapa")</f>
        <v>🔗 Ver Mapa</v>
      </c>
    </row>
    <row r="1140" spans="1:12" ht="43.5" x14ac:dyDescent="0.35">
      <c r="A1140" s="6" t="s">
        <v>206</v>
      </c>
      <c r="B1140" s="6" t="s">
        <v>207</v>
      </c>
      <c r="C1140" s="6" t="s">
        <v>208</v>
      </c>
      <c r="D1140" s="6" t="s">
        <v>34</v>
      </c>
      <c r="E1140" s="6" t="s">
        <v>209</v>
      </c>
      <c r="F1140" s="6" t="s">
        <v>210</v>
      </c>
      <c r="G1140" s="6" t="s">
        <v>211</v>
      </c>
      <c r="H1140" s="6" t="s">
        <v>212</v>
      </c>
      <c r="I1140" s="6" t="s">
        <v>213</v>
      </c>
      <c r="J1140" s="6">
        <v>17.381737999999999</v>
      </c>
      <c r="K1140" s="6">
        <v>-96.160297999999997</v>
      </c>
      <c r="L1140" s="6" t="str">
        <f>HYPERLINK("https://maps.google.com/?q=17.381738,-96.160297999999997", "🔗 Ver Mapa")</f>
        <v>🔗 Ver Mapa</v>
      </c>
    </row>
    <row r="1141" spans="1:12" ht="43.5" x14ac:dyDescent="0.35">
      <c r="A1141" s="5" t="s">
        <v>206</v>
      </c>
      <c r="B1141" s="5" t="s">
        <v>207</v>
      </c>
      <c r="C1141" s="5" t="s">
        <v>208</v>
      </c>
      <c r="D1141" s="5" t="s">
        <v>34</v>
      </c>
      <c r="E1141" s="5" t="s">
        <v>209</v>
      </c>
      <c r="F1141" s="5" t="s">
        <v>210</v>
      </c>
      <c r="G1141" s="5" t="s">
        <v>211</v>
      </c>
      <c r="H1141" s="5" t="s">
        <v>212</v>
      </c>
      <c r="I1141" s="5" t="s">
        <v>213</v>
      </c>
      <c r="J1141" s="5">
        <v>17.381754999999998</v>
      </c>
      <c r="K1141" s="5">
        <v>-96.164546999999999</v>
      </c>
      <c r="L1141" s="5" t="str">
        <f>HYPERLINK("https://maps.google.com/?q=17.381755,-96.164546999999999", "🔗 Ver Mapa")</f>
        <v>🔗 Ver Mapa</v>
      </c>
    </row>
    <row r="1142" spans="1:12" ht="43.5" x14ac:dyDescent="0.35">
      <c r="A1142" s="6" t="s">
        <v>206</v>
      </c>
      <c r="B1142" s="6" t="s">
        <v>207</v>
      </c>
      <c r="C1142" s="6" t="s">
        <v>208</v>
      </c>
      <c r="D1142" s="6" t="s">
        <v>34</v>
      </c>
      <c r="E1142" s="6" t="s">
        <v>209</v>
      </c>
      <c r="F1142" s="6" t="s">
        <v>210</v>
      </c>
      <c r="G1142" s="6" t="s">
        <v>211</v>
      </c>
      <c r="H1142" s="6" t="s">
        <v>212</v>
      </c>
      <c r="I1142" s="6" t="s">
        <v>213</v>
      </c>
      <c r="J1142" s="6">
        <v>17.381758999999999</v>
      </c>
      <c r="K1142" s="6">
        <v>-96.165447999999998</v>
      </c>
      <c r="L1142" s="6" t="str">
        <f>HYPERLINK("https://maps.google.com/?q=17.381759,-96.165447999999998", "🔗 Ver Mapa")</f>
        <v>🔗 Ver Mapa</v>
      </c>
    </row>
    <row r="1143" spans="1:12" ht="43.5" x14ac:dyDescent="0.35">
      <c r="A1143" s="5" t="s">
        <v>206</v>
      </c>
      <c r="B1143" s="5" t="s">
        <v>207</v>
      </c>
      <c r="C1143" s="5" t="s">
        <v>208</v>
      </c>
      <c r="D1143" s="5" t="s">
        <v>34</v>
      </c>
      <c r="E1143" s="5" t="s">
        <v>209</v>
      </c>
      <c r="F1143" s="5" t="s">
        <v>210</v>
      </c>
      <c r="G1143" s="5" t="s">
        <v>211</v>
      </c>
      <c r="H1143" s="5" t="s">
        <v>212</v>
      </c>
      <c r="I1143" s="5" t="s">
        <v>213</v>
      </c>
      <c r="J1143" s="5">
        <v>17.381792000000001</v>
      </c>
      <c r="K1143" s="5">
        <v>-96.161300999999995</v>
      </c>
      <c r="L1143" s="5" t="str">
        <f>HYPERLINK("https://maps.google.com/?q=17.381792,-96.161300999999995", "🔗 Ver Mapa")</f>
        <v>🔗 Ver Mapa</v>
      </c>
    </row>
    <row r="1144" spans="1:12" ht="43.5" x14ac:dyDescent="0.35">
      <c r="A1144" s="6" t="s">
        <v>206</v>
      </c>
      <c r="B1144" s="6" t="s">
        <v>207</v>
      </c>
      <c r="C1144" s="6" t="s">
        <v>208</v>
      </c>
      <c r="D1144" s="6" t="s">
        <v>34</v>
      </c>
      <c r="E1144" s="6" t="s">
        <v>209</v>
      </c>
      <c r="F1144" s="6" t="s">
        <v>210</v>
      </c>
      <c r="G1144" s="6" t="s">
        <v>211</v>
      </c>
      <c r="H1144" s="6" t="s">
        <v>212</v>
      </c>
      <c r="I1144" s="6" t="s">
        <v>213</v>
      </c>
      <c r="J1144" s="6">
        <v>17.381816000000001</v>
      </c>
      <c r="K1144" s="6">
        <v>-96.161041999999995</v>
      </c>
      <c r="L1144" s="6" t="str">
        <f>HYPERLINK("https://maps.google.com/?q=17.381816,-96.161041999999995", "🔗 Ver Mapa")</f>
        <v>🔗 Ver Mapa</v>
      </c>
    </row>
    <row r="1145" spans="1:12" ht="43.5" x14ac:dyDescent="0.35">
      <c r="A1145" s="5" t="s">
        <v>206</v>
      </c>
      <c r="B1145" s="5" t="s">
        <v>207</v>
      </c>
      <c r="C1145" s="5" t="s">
        <v>208</v>
      </c>
      <c r="D1145" s="5" t="s">
        <v>34</v>
      </c>
      <c r="E1145" s="5" t="s">
        <v>209</v>
      </c>
      <c r="F1145" s="5" t="s">
        <v>210</v>
      </c>
      <c r="G1145" s="5" t="s">
        <v>211</v>
      </c>
      <c r="H1145" s="5" t="s">
        <v>212</v>
      </c>
      <c r="I1145" s="5" t="s">
        <v>213</v>
      </c>
      <c r="J1145" s="5">
        <v>17.381844999999998</v>
      </c>
      <c r="K1145" s="5">
        <v>-96.160038999999998</v>
      </c>
      <c r="L1145" s="5" t="str">
        <f>HYPERLINK("https://maps.google.com/?q=17.381845,-96.160038999999998", "🔗 Ver Mapa")</f>
        <v>🔗 Ver Mapa</v>
      </c>
    </row>
    <row r="1146" spans="1:12" ht="43.5" x14ac:dyDescent="0.35">
      <c r="A1146" s="6" t="s">
        <v>206</v>
      </c>
      <c r="B1146" s="6" t="s">
        <v>207</v>
      </c>
      <c r="C1146" s="6" t="s">
        <v>208</v>
      </c>
      <c r="D1146" s="6" t="s">
        <v>34</v>
      </c>
      <c r="E1146" s="6" t="s">
        <v>209</v>
      </c>
      <c r="F1146" s="6" t="s">
        <v>210</v>
      </c>
      <c r="G1146" s="6" t="s">
        <v>211</v>
      </c>
      <c r="H1146" s="6" t="s">
        <v>212</v>
      </c>
      <c r="I1146" s="6" t="s">
        <v>213</v>
      </c>
      <c r="J1146" s="6">
        <v>17.381861000000001</v>
      </c>
      <c r="K1146" s="6">
        <v>-96.161270999999999</v>
      </c>
      <c r="L1146" s="6" t="str">
        <f>HYPERLINK("https://maps.google.com/?q=17.381861,-96.161270999999999", "🔗 Ver Mapa")</f>
        <v>🔗 Ver Mapa</v>
      </c>
    </row>
    <row r="1147" spans="1:12" ht="43.5" x14ac:dyDescent="0.35">
      <c r="A1147" s="5" t="s">
        <v>206</v>
      </c>
      <c r="B1147" s="5" t="s">
        <v>207</v>
      </c>
      <c r="C1147" s="5" t="s">
        <v>208</v>
      </c>
      <c r="D1147" s="5" t="s">
        <v>34</v>
      </c>
      <c r="E1147" s="5" t="s">
        <v>209</v>
      </c>
      <c r="F1147" s="5" t="s">
        <v>210</v>
      </c>
      <c r="G1147" s="5" t="s">
        <v>211</v>
      </c>
      <c r="H1147" s="5" t="s">
        <v>212</v>
      </c>
      <c r="I1147" s="5" t="s">
        <v>213</v>
      </c>
      <c r="J1147" s="5">
        <v>17.381862000000002</v>
      </c>
      <c r="K1147" s="5">
        <v>-96.160167999999999</v>
      </c>
      <c r="L1147" s="5" t="str">
        <f>HYPERLINK("https://maps.google.com/?q=17.381862,-96.160167999999999", "🔗 Ver Mapa")</f>
        <v>🔗 Ver Mapa</v>
      </c>
    </row>
    <row r="1148" spans="1:12" ht="43.5" x14ac:dyDescent="0.35">
      <c r="A1148" s="6" t="s">
        <v>206</v>
      </c>
      <c r="B1148" s="6" t="s">
        <v>207</v>
      </c>
      <c r="C1148" s="6" t="s">
        <v>208</v>
      </c>
      <c r="D1148" s="6" t="s">
        <v>34</v>
      </c>
      <c r="E1148" s="6" t="s">
        <v>209</v>
      </c>
      <c r="F1148" s="6" t="s">
        <v>210</v>
      </c>
      <c r="G1148" s="6" t="s">
        <v>211</v>
      </c>
      <c r="H1148" s="6" t="s">
        <v>212</v>
      </c>
      <c r="I1148" s="6" t="s">
        <v>213</v>
      </c>
      <c r="J1148" s="6">
        <v>17.381865000000001</v>
      </c>
      <c r="K1148" s="6">
        <v>-96.162350000000004</v>
      </c>
      <c r="L1148" s="6" t="str">
        <f>HYPERLINK("https://maps.google.com/?q=17.381865,-96.162350000000004", "🔗 Ver Mapa")</f>
        <v>🔗 Ver Mapa</v>
      </c>
    </row>
    <row r="1149" spans="1:12" ht="43.5" x14ac:dyDescent="0.35">
      <c r="A1149" s="5" t="s">
        <v>206</v>
      </c>
      <c r="B1149" s="5" t="s">
        <v>207</v>
      </c>
      <c r="C1149" s="5" t="s">
        <v>208</v>
      </c>
      <c r="D1149" s="5" t="s">
        <v>34</v>
      </c>
      <c r="E1149" s="5" t="s">
        <v>209</v>
      </c>
      <c r="F1149" s="5" t="s">
        <v>210</v>
      </c>
      <c r="G1149" s="5" t="s">
        <v>211</v>
      </c>
      <c r="H1149" s="5" t="s">
        <v>212</v>
      </c>
      <c r="I1149" s="5" t="s">
        <v>213</v>
      </c>
      <c r="J1149" s="5">
        <v>17.381892000000001</v>
      </c>
      <c r="K1149" s="5">
        <v>-96.164590000000004</v>
      </c>
      <c r="L1149" s="5" t="str">
        <f>HYPERLINK("https://maps.google.com/?q=17.381892,-96.164590000000004", "🔗 Ver Mapa")</f>
        <v>🔗 Ver Mapa</v>
      </c>
    </row>
    <row r="1150" spans="1:12" ht="43.5" x14ac:dyDescent="0.35">
      <c r="A1150" s="6" t="s">
        <v>206</v>
      </c>
      <c r="B1150" s="6" t="s">
        <v>207</v>
      </c>
      <c r="C1150" s="6" t="s">
        <v>208</v>
      </c>
      <c r="D1150" s="6" t="s">
        <v>34</v>
      </c>
      <c r="E1150" s="6" t="s">
        <v>209</v>
      </c>
      <c r="F1150" s="6" t="s">
        <v>210</v>
      </c>
      <c r="G1150" s="6" t="s">
        <v>211</v>
      </c>
      <c r="H1150" s="6" t="s">
        <v>212</v>
      </c>
      <c r="I1150" s="6" t="s">
        <v>213</v>
      </c>
      <c r="J1150" s="6">
        <v>17.381927000000001</v>
      </c>
      <c r="K1150" s="6">
        <v>-96.160075000000006</v>
      </c>
      <c r="L1150" s="6" t="str">
        <f>HYPERLINK("https://maps.google.com/?q=17.381927,-96.160075000000006", "🔗 Ver Mapa")</f>
        <v>🔗 Ver Mapa</v>
      </c>
    </row>
    <row r="1151" spans="1:12" ht="43.5" x14ac:dyDescent="0.35">
      <c r="A1151" s="5" t="s">
        <v>206</v>
      </c>
      <c r="B1151" s="5" t="s">
        <v>207</v>
      </c>
      <c r="C1151" s="5" t="s">
        <v>208</v>
      </c>
      <c r="D1151" s="5" t="s">
        <v>34</v>
      </c>
      <c r="E1151" s="5" t="s">
        <v>209</v>
      </c>
      <c r="F1151" s="5" t="s">
        <v>210</v>
      </c>
      <c r="G1151" s="5" t="s">
        <v>211</v>
      </c>
      <c r="H1151" s="5" t="s">
        <v>212</v>
      </c>
      <c r="I1151" s="5" t="s">
        <v>213</v>
      </c>
      <c r="J1151" s="5">
        <v>17.381927000000001</v>
      </c>
      <c r="K1151" s="5">
        <v>-96.161186000000001</v>
      </c>
      <c r="L1151" s="5" t="str">
        <f>HYPERLINK("https://maps.google.com/?q=17.381927,-96.161186000000001", "🔗 Ver Mapa")</f>
        <v>🔗 Ver Mapa</v>
      </c>
    </row>
    <row r="1152" spans="1:12" ht="43.5" x14ac:dyDescent="0.35">
      <c r="A1152" s="6" t="s">
        <v>206</v>
      </c>
      <c r="B1152" s="6" t="s">
        <v>207</v>
      </c>
      <c r="C1152" s="6" t="s">
        <v>208</v>
      </c>
      <c r="D1152" s="6" t="s">
        <v>34</v>
      </c>
      <c r="E1152" s="6" t="s">
        <v>209</v>
      </c>
      <c r="F1152" s="6" t="s">
        <v>210</v>
      </c>
      <c r="G1152" s="6" t="s">
        <v>211</v>
      </c>
      <c r="H1152" s="6" t="s">
        <v>212</v>
      </c>
      <c r="I1152" s="6" t="s">
        <v>213</v>
      </c>
      <c r="J1152" s="6">
        <v>17.381943</v>
      </c>
      <c r="K1152" s="6">
        <v>-96.162380999999996</v>
      </c>
      <c r="L1152" s="6" t="str">
        <f>HYPERLINK("https://maps.google.com/?q=17.381943,-96.162380999999996", "🔗 Ver Mapa")</f>
        <v>🔗 Ver Mapa</v>
      </c>
    </row>
    <row r="1153" spans="1:12" ht="43.5" x14ac:dyDescent="0.35">
      <c r="A1153" s="5" t="s">
        <v>206</v>
      </c>
      <c r="B1153" s="5" t="s">
        <v>207</v>
      </c>
      <c r="C1153" s="5" t="s">
        <v>208</v>
      </c>
      <c r="D1153" s="5" t="s">
        <v>34</v>
      </c>
      <c r="E1153" s="5" t="s">
        <v>209</v>
      </c>
      <c r="F1153" s="5" t="s">
        <v>210</v>
      </c>
      <c r="G1153" s="5" t="s">
        <v>211</v>
      </c>
      <c r="H1153" s="5" t="s">
        <v>212</v>
      </c>
      <c r="I1153" s="5" t="s">
        <v>213</v>
      </c>
      <c r="J1153" s="5">
        <v>17.381952999999999</v>
      </c>
      <c r="K1153" s="5">
        <v>-96.163520000000005</v>
      </c>
      <c r="L1153" s="5" t="str">
        <f>HYPERLINK("https://maps.google.com/?q=17.381953,-96.163520000000005", "🔗 Ver Mapa")</f>
        <v>🔗 Ver Mapa</v>
      </c>
    </row>
    <row r="1154" spans="1:12" ht="43.5" x14ac:dyDescent="0.35">
      <c r="A1154" s="6" t="s">
        <v>206</v>
      </c>
      <c r="B1154" s="6" t="s">
        <v>207</v>
      </c>
      <c r="C1154" s="6" t="s">
        <v>208</v>
      </c>
      <c r="D1154" s="6" t="s">
        <v>34</v>
      </c>
      <c r="E1154" s="6" t="s">
        <v>209</v>
      </c>
      <c r="F1154" s="6" t="s">
        <v>210</v>
      </c>
      <c r="G1154" s="6" t="s">
        <v>211</v>
      </c>
      <c r="H1154" s="6" t="s">
        <v>212</v>
      </c>
      <c r="I1154" s="6" t="s">
        <v>213</v>
      </c>
      <c r="J1154" s="6">
        <v>17.381965000000001</v>
      </c>
      <c r="K1154" s="6">
        <v>-96.164473000000001</v>
      </c>
      <c r="L1154" s="6" t="str">
        <f>HYPERLINK("https://maps.google.com/?q=17.381965,-96.164473000000001", "🔗 Ver Mapa")</f>
        <v>🔗 Ver Mapa</v>
      </c>
    </row>
    <row r="1155" spans="1:12" ht="43.5" x14ac:dyDescent="0.35">
      <c r="A1155" s="5" t="s">
        <v>206</v>
      </c>
      <c r="B1155" s="5" t="s">
        <v>207</v>
      </c>
      <c r="C1155" s="5" t="s">
        <v>208</v>
      </c>
      <c r="D1155" s="5" t="s">
        <v>34</v>
      </c>
      <c r="E1155" s="5" t="s">
        <v>209</v>
      </c>
      <c r="F1155" s="5" t="s">
        <v>210</v>
      </c>
      <c r="G1155" s="5" t="s">
        <v>211</v>
      </c>
      <c r="H1155" s="5" t="s">
        <v>212</v>
      </c>
      <c r="I1155" s="5" t="s">
        <v>213</v>
      </c>
      <c r="J1155" s="5">
        <v>17.381986000000001</v>
      </c>
      <c r="K1155" s="5">
        <v>-96.161043000000006</v>
      </c>
      <c r="L1155" s="5" t="str">
        <f>HYPERLINK("https://maps.google.com/?q=17.381986,-96.161043000000006", "🔗 Ver Mapa")</f>
        <v>🔗 Ver Mapa</v>
      </c>
    </row>
    <row r="1156" spans="1:12" ht="43.5" x14ac:dyDescent="0.35">
      <c r="A1156" s="6" t="s">
        <v>206</v>
      </c>
      <c r="B1156" s="6" t="s">
        <v>207</v>
      </c>
      <c r="C1156" s="6" t="s">
        <v>208</v>
      </c>
      <c r="D1156" s="6" t="s">
        <v>34</v>
      </c>
      <c r="E1156" s="6" t="s">
        <v>209</v>
      </c>
      <c r="F1156" s="6" t="s">
        <v>210</v>
      </c>
      <c r="G1156" s="6" t="s">
        <v>211</v>
      </c>
      <c r="H1156" s="6" t="s">
        <v>212</v>
      </c>
      <c r="I1156" s="6" t="s">
        <v>213</v>
      </c>
      <c r="J1156" s="6">
        <v>17.381989999999998</v>
      </c>
      <c r="K1156" s="6">
        <v>-96.162351000000001</v>
      </c>
      <c r="L1156" s="6" t="str">
        <f>HYPERLINK("https://maps.google.com/?q=17.38199,-96.162351000000001", "🔗 Ver Mapa")</f>
        <v>🔗 Ver Mapa</v>
      </c>
    </row>
    <row r="1157" spans="1:12" ht="43.5" x14ac:dyDescent="0.35">
      <c r="A1157" s="5" t="s">
        <v>206</v>
      </c>
      <c r="B1157" s="5" t="s">
        <v>207</v>
      </c>
      <c r="C1157" s="5" t="s">
        <v>208</v>
      </c>
      <c r="D1157" s="5" t="s">
        <v>34</v>
      </c>
      <c r="E1157" s="5" t="s">
        <v>209</v>
      </c>
      <c r="F1157" s="5" t="s">
        <v>210</v>
      </c>
      <c r="G1157" s="5" t="s">
        <v>211</v>
      </c>
      <c r="H1157" s="5" t="s">
        <v>212</v>
      </c>
      <c r="I1157" s="5" t="s">
        <v>213</v>
      </c>
      <c r="J1157" s="5">
        <v>17.382009</v>
      </c>
      <c r="K1157" s="5">
        <v>-96.164105000000006</v>
      </c>
      <c r="L1157" s="5" t="str">
        <f>HYPERLINK("https://maps.google.com/?q=17.382009,-96.164105000000006", "🔗 Ver Mapa")</f>
        <v>🔗 Ver Mapa</v>
      </c>
    </row>
    <row r="1158" spans="1:12" ht="43.5" x14ac:dyDescent="0.35">
      <c r="A1158" s="6" t="s">
        <v>206</v>
      </c>
      <c r="B1158" s="6" t="s">
        <v>207</v>
      </c>
      <c r="C1158" s="6" t="s">
        <v>208</v>
      </c>
      <c r="D1158" s="6" t="s">
        <v>34</v>
      </c>
      <c r="E1158" s="6" t="s">
        <v>209</v>
      </c>
      <c r="F1158" s="6" t="s">
        <v>210</v>
      </c>
      <c r="G1158" s="6" t="s">
        <v>211</v>
      </c>
      <c r="H1158" s="6" t="s">
        <v>212</v>
      </c>
      <c r="I1158" s="6" t="s">
        <v>213</v>
      </c>
      <c r="J1158" s="6">
        <v>17.382072000000001</v>
      </c>
      <c r="K1158" s="6">
        <v>-96.160396000000006</v>
      </c>
      <c r="L1158" s="6" t="str">
        <f>HYPERLINK("https://maps.google.com/?q=17.382072,-96.160396000000006", "🔗 Ver Mapa")</f>
        <v>🔗 Ver Mapa</v>
      </c>
    </row>
    <row r="1159" spans="1:12" ht="43.5" x14ac:dyDescent="0.35">
      <c r="A1159" s="5" t="s">
        <v>206</v>
      </c>
      <c r="B1159" s="5" t="s">
        <v>207</v>
      </c>
      <c r="C1159" s="5" t="s">
        <v>208</v>
      </c>
      <c r="D1159" s="5" t="s">
        <v>34</v>
      </c>
      <c r="E1159" s="5" t="s">
        <v>209</v>
      </c>
      <c r="F1159" s="5" t="s">
        <v>210</v>
      </c>
      <c r="G1159" s="5" t="s">
        <v>211</v>
      </c>
      <c r="H1159" s="5" t="s">
        <v>212</v>
      </c>
      <c r="I1159" s="5" t="s">
        <v>213</v>
      </c>
      <c r="J1159" s="5">
        <v>17.38213</v>
      </c>
      <c r="K1159" s="5">
        <v>-96.162205999999998</v>
      </c>
      <c r="L1159" s="5" t="str">
        <f>HYPERLINK("https://maps.google.com/?q=17.38213,-96.162205999999998", "🔗 Ver Mapa")</f>
        <v>🔗 Ver Mapa</v>
      </c>
    </row>
    <row r="1160" spans="1:12" ht="43.5" x14ac:dyDescent="0.35">
      <c r="A1160" s="6" t="s">
        <v>206</v>
      </c>
      <c r="B1160" s="6" t="s">
        <v>207</v>
      </c>
      <c r="C1160" s="6" t="s">
        <v>208</v>
      </c>
      <c r="D1160" s="6" t="s">
        <v>34</v>
      </c>
      <c r="E1160" s="6" t="s">
        <v>209</v>
      </c>
      <c r="F1160" s="6" t="s">
        <v>210</v>
      </c>
      <c r="G1160" s="6" t="s">
        <v>211</v>
      </c>
      <c r="H1160" s="6" t="s">
        <v>212</v>
      </c>
      <c r="I1160" s="6" t="s">
        <v>213</v>
      </c>
      <c r="J1160" s="6">
        <v>17.382142000000002</v>
      </c>
      <c r="K1160" s="6">
        <v>-96.166486000000006</v>
      </c>
      <c r="L1160" s="6" t="str">
        <f>HYPERLINK("https://maps.google.com/?q=17.382142,-96.166486000000006", "🔗 Ver Mapa")</f>
        <v>🔗 Ver Mapa</v>
      </c>
    </row>
    <row r="1161" spans="1:12" ht="43.5" x14ac:dyDescent="0.35">
      <c r="A1161" s="5" t="s">
        <v>206</v>
      </c>
      <c r="B1161" s="5" t="s">
        <v>207</v>
      </c>
      <c r="C1161" s="5" t="s">
        <v>208</v>
      </c>
      <c r="D1161" s="5" t="s">
        <v>34</v>
      </c>
      <c r="E1161" s="5" t="s">
        <v>209</v>
      </c>
      <c r="F1161" s="5" t="s">
        <v>210</v>
      </c>
      <c r="G1161" s="5" t="s">
        <v>211</v>
      </c>
      <c r="H1161" s="5" t="s">
        <v>212</v>
      </c>
      <c r="I1161" s="5" t="s">
        <v>213</v>
      </c>
      <c r="J1161" s="5">
        <v>17.382145000000001</v>
      </c>
      <c r="K1161" s="5">
        <v>-96.165884000000005</v>
      </c>
      <c r="L1161" s="5" t="str">
        <f>HYPERLINK("https://maps.google.com/?q=17.382145,-96.165884000000005", "🔗 Ver Mapa")</f>
        <v>🔗 Ver Mapa</v>
      </c>
    </row>
    <row r="1162" spans="1:12" ht="43.5" x14ac:dyDescent="0.35">
      <c r="A1162" s="6" t="s">
        <v>206</v>
      </c>
      <c r="B1162" s="6" t="s">
        <v>207</v>
      </c>
      <c r="C1162" s="6" t="s">
        <v>208</v>
      </c>
      <c r="D1162" s="6" t="s">
        <v>34</v>
      </c>
      <c r="E1162" s="6" t="s">
        <v>209</v>
      </c>
      <c r="F1162" s="6" t="s">
        <v>210</v>
      </c>
      <c r="G1162" s="6" t="s">
        <v>211</v>
      </c>
      <c r="H1162" s="6" t="s">
        <v>212</v>
      </c>
      <c r="I1162" s="6" t="s">
        <v>213</v>
      </c>
      <c r="J1162" s="6">
        <v>17.382171</v>
      </c>
      <c r="K1162" s="6">
        <v>-96.166307000000003</v>
      </c>
      <c r="L1162" s="6" t="str">
        <f>HYPERLINK("https://maps.google.com/?q=17.382171,-96.166307000000003", "🔗 Ver Mapa")</f>
        <v>🔗 Ver Mapa</v>
      </c>
    </row>
    <row r="1163" spans="1:12" ht="43.5" x14ac:dyDescent="0.35">
      <c r="A1163" s="5" t="s">
        <v>206</v>
      </c>
      <c r="B1163" s="5" t="s">
        <v>207</v>
      </c>
      <c r="C1163" s="5" t="s">
        <v>208</v>
      </c>
      <c r="D1163" s="5" t="s">
        <v>34</v>
      </c>
      <c r="E1163" s="5" t="s">
        <v>209</v>
      </c>
      <c r="F1163" s="5" t="s">
        <v>210</v>
      </c>
      <c r="G1163" s="5" t="s">
        <v>211</v>
      </c>
      <c r="H1163" s="5" t="s">
        <v>212</v>
      </c>
      <c r="I1163" s="5" t="s">
        <v>213</v>
      </c>
      <c r="J1163" s="5">
        <v>17.382182</v>
      </c>
      <c r="K1163" s="5">
        <v>-96.160802000000004</v>
      </c>
      <c r="L1163" s="5" t="str">
        <f>HYPERLINK("https://maps.google.com/?q=17.382182,-96.160802000000004", "🔗 Ver Mapa")</f>
        <v>🔗 Ver Mapa</v>
      </c>
    </row>
    <row r="1164" spans="1:12" ht="43.5" x14ac:dyDescent="0.35">
      <c r="A1164" s="6" t="s">
        <v>206</v>
      </c>
      <c r="B1164" s="6" t="s">
        <v>207</v>
      </c>
      <c r="C1164" s="6" t="s">
        <v>208</v>
      </c>
      <c r="D1164" s="6" t="s">
        <v>34</v>
      </c>
      <c r="E1164" s="6" t="s">
        <v>209</v>
      </c>
      <c r="F1164" s="6" t="s">
        <v>210</v>
      </c>
      <c r="G1164" s="6" t="s">
        <v>211</v>
      </c>
      <c r="H1164" s="6" t="s">
        <v>212</v>
      </c>
      <c r="I1164" s="6" t="s">
        <v>213</v>
      </c>
      <c r="J1164" s="6">
        <v>17.382225999999999</v>
      </c>
      <c r="K1164" s="6">
        <v>-96.161006999999998</v>
      </c>
      <c r="L1164" s="6" t="str">
        <f>HYPERLINK("https://maps.google.com/?q=17.382226,-96.161006999999998", "🔗 Ver Mapa")</f>
        <v>🔗 Ver Mapa</v>
      </c>
    </row>
    <row r="1165" spans="1:12" ht="43.5" x14ac:dyDescent="0.35">
      <c r="A1165" s="5" t="s">
        <v>206</v>
      </c>
      <c r="B1165" s="5" t="s">
        <v>207</v>
      </c>
      <c r="C1165" s="5" t="s">
        <v>208</v>
      </c>
      <c r="D1165" s="5" t="s">
        <v>34</v>
      </c>
      <c r="E1165" s="5" t="s">
        <v>209</v>
      </c>
      <c r="F1165" s="5" t="s">
        <v>210</v>
      </c>
      <c r="G1165" s="5" t="s">
        <v>211</v>
      </c>
      <c r="H1165" s="5" t="s">
        <v>212</v>
      </c>
      <c r="I1165" s="5" t="s">
        <v>213</v>
      </c>
      <c r="J1165" s="5">
        <v>17.382244</v>
      </c>
      <c r="K1165" s="5">
        <v>-96.160932000000003</v>
      </c>
      <c r="L1165" s="5" t="str">
        <f>HYPERLINK("https://maps.google.com/?q=17.382244,-96.160932000000003", "🔗 Ver Mapa")</f>
        <v>🔗 Ver Mapa</v>
      </c>
    </row>
    <row r="1166" spans="1:12" ht="43.5" x14ac:dyDescent="0.35">
      <c r="A1166" s="6" t="s">
        <v>206</v>
      </c>
      <c r="B1166" s="6" t="s">
        <v>207</v>
      </c>
      <c r="C1166" s="6" t="s">
        <v>208</v>
      </c>
      <c r="D1166" s="6" t="s">
        <v>34</v>
      </c>
      <c r="E1166" s="6" t="s">
        <v>209</v>
      </c>
      <c r="F1166" s="6" t="s">
        <v>210</v>
      </c>
      <c r="G1166" s="6" t="s">
        <v>211</v>
      </c>
      <c r="H1166" s="6" t="s">
        <v>212</v>
      </c>
      <c r="I1166" s="6" t="s">
        <v>213</v>
      </c>
      <c r="J1166" s="6">
        <v>17.382366000000001</v>
      </c>
      <c r="K1166" s="6">
        <v>-96.162907000000004</v>
      </c>
      <c r="L1166" s="6" t="str">
        <f>HYPERLINK("https://maps.google.com/?q=17.382366,-96.162907000000004", "🔗 Ver Mapa")</f>
        <v>🔗 Ver Mapa</v>
      </c>
    </row>
    <row r="1167" spans="1:12" ht="43.5" x14ac:dyDescent="0.35">
      <c r="A1167" s="5" t="s">
        <v>206</v>
      </c>
      <c r="B1167" s="5" t="s">
        <v>207</v>
      </c>
      <c r="C1167" s="5" t="s">
        <v>208</v>
      </c>
      <c r="D1167" s="5" t="s">
        <v>34</v>
      </c>
      <c r="E1167" s="5" t="s">
        <v>209</v>
      </c>
      <c r="F1167" s="5" t="s">
        <v>210</v>
      </c>
      <c r="G1167" s="5" t="s">
        <v>211</v>
      </c>
      <c r="H1167" s="5" t="s">
        <v>212</v>
      </c>
      <c r="I1167" s="5" t="s">
        <v>213</v>
      </c>
      <c r="J1167" s="5">
        <v>17.382427</v>
      </c>
      <c r="K1167" s="5">
        <v>-96.166228000000004</v>
      </c>
      <c r="L1167" s="5" t="str">
        <f>HYPERLINK("https://maps.google.com/?q=17.382427,-96.166228000000004", "🔗 Ver Mapa")</f>
        <v>🔗 Ver Mapa</v>
      </c>
    </row>
    <row r="1168" spans="1:12" ht="43.5" x14ac:dyDescent="0.35">
      <c r="A1168" s="6" t="s">
        <v>206</v>
      </c>
      <c r="B1168" s="6" t="s">
        <v>207</v>
      </c>
      <c r="C1168" s="6" t="s">
        <v>208</v>
      </c>
      <c r="D1168" s="6" t="s">
        <v>34</v>
      </c>
      <c r="E1168" s="6" t="s">
        <v>209</v>
      </c>
      <c r="F1168" s="6" t="s">
        <v>210</v>
      </c>
      <c r="G1168" s="6" t="s">
        <v>211</v>
      </c>
      <c r="H1168" s="6" t="s">
        <v>212</v>
      </c>
      <c r="I1168" s="6" t="s">
        <v>213</v>
      </c>
      <c r="J1168" s="6">
        <v>17.382428999999998</v>
      </c>
      <c r="K1168" s="6">
        <v>-96.166326999999995</v>
      </c>
      <c r="L1168" s="6" t="str">
        <f>HYPERLINK("https://maps.google.com/?q=17.382429,-96.166326999999995", "🔗 Ver Mapa")</f>
        <v>🔗 Ver Mapa</v>
      </c>
    </row>
    <row r="1169" spans="1:12" ht="43.5" x14ac:dyDescent="0.35">
      <c r="A1169" s="5" t="s">
        <v>206</v>
      </c>
      <c r="B1169" s="5" t="s">
        <v>207</v>
      </c>
      <c r="C1169" s="5" t="s">
        <v>208</v>
      </c>
      <c r="D1169" s="5" t="s">
        <v>34</v>
      </c>
      <c r="E1169" s="5" t="s">
        <v>209</v>
      </c>
      <c r="F1169" s="5" t="s">
        <v>210</v>
      </c>
      <c r="G1169" s="5" t="s">
        <v>211</v>
      </c>
      <c r="H1169" s="5" t="s">
        <v>212</v>
      </c>
      <c r="I1169" s="5" t="s">
        <v>213</v>
      </c>
      <c r="J1169" s="5">
        <v>17.382432000000001</v>
      </c>
      <c r="K1169" s="5">
        <v>-96.162813999999997</v>
      </c>
      <c r="L1169" s="5" t="str">
        <f>HYPERLINK("https://maps.google.com/?q=17.382432,-96.162813999999997", "🔗 Ver Mapa")</f>
        <v>🔗 Ver Mapa</v>
      </c>
    </row>
    <row r="1170" spans="1:12" ht="43.5" x14ac:dyDescent="0.35">
      <c r="A1170" s="6" t="s">
        <v>206</v>
      </c>
      <c r="B1170" s="6" t="s">
        <v>207</v>
      </c>
      <c r="C1170" s="6" t="s">
        <v>208</v>
      </c>
      <c r="D1170" s="6" t="s">
        <v>34</v>
      </c>
      <c r="E1170" s="6" t="s">
        <v>209</v>
      </c>
      <c r="F1170" s="6" t="s">
        <v>210</v>
      </c>
      <c r="G1170" s="6" t="s">
        <v>211</v>
      </c>
      <c r="H1170" s="6" t="s">
        <v>212</v>
      </c>
      <c r="I1170" s="6" t="s">
        <v>213</v>
      </c>
      <c r="J1170" s="6">
        <v>17.382549000000001</v>
      </c>
      <c r="K1170" s="6">
        <v>-96.162493999999995</v>
      </c>
      <c r="L1170" s="6" t="str">
        <f>HYPERLINK("https://maps.google.com/?q=17.382549,-96.162493999999995", "🔗 Ver Mapa")</f>
        <v>🔗 Ver Mapa</v>
      </c>
    </row>
    <row r="1171" spans="1:12" ht="43.5" x14ac:dyDescent="0.35">
      <c r="A1171" s="5" t="s">
        <v>206</v>
      </c>
      <c r="B1171" s="5" t="s">
        <v>207</v>
      </c>
      <c r="C1171" s="5" t="s">
        <v>208</v>
      </c>
      <c r="D1171" s="5" t="s">
        <v>34</v>
      </c>
      <c r="E1171" s="5" t="s">
        <v>209</v>
      </c>
      <c r="F1171" s="5" t="s">
        <v>210</v>
      </c>
      <c r="G1171" s="5" t="s">
        <v>211</v>
      </c>
      <c r="H1171" s="5" t="s">
        <v>212</v>
      </c>
      <c r="I1171" s="5" t="s">
        <v>213</v>
      </c>
      <c r="J1171" s="5">
        <v>17.382629000000001</v>
      </c>
      <c r="K1171" s="5">
        <v>-96.166371999999996</v>
      </c>
      <c r="L1171" s="5" t="str">
        <f>HYPERLINK("https://maps.google.com/?q=17.382629,-96.166371999999996", "🔗 Ver Mapa")</f>
        <v>🔗 Ver Mapa</v>
      </c>
    </row>
    <row r="1172" spans="1:12" ht="43.5" x14ac:dyDescent="0.35">
      <c r="A1172" s="6" t="s">
        <v>206</v>
      </c>
      <c r="B1172" s="6" t="s">
        <v>207</v>
      </c>
      <c r="C1172" s="6" t="s">
        <v>208</v>
      </c>
      <c r="D1172" s="6" t="s">
        <v>34</v>
      </c>
      <c r="E1172" s="6" t="s">
        <v>209</v>
      </c>
      <c r="F1172" s="6" t="s">
        <v>210</v>
      </c>
      <c r="G1172" s="6" t="s">
        <v>211</v>
      </c>
      <c r="H1172" s="6" t="s">
        <v>212</v>
      </c>
      <c r="I1172" s="6" t="s">
        <v>213</v>
      </c>
      <c r="J1172" s="6">
        <v>17.382639999999999</v>
      </c>
      <c r="K1172" s="6">
        <v>-96.162344000000004</v>
      </c>
      <c r="L1172" s="6" t="str">
        <f>HYPERLINK("https://maps.google.com/?q=17.38264,-96.162344000000004", "🔗 Ver Mapa")</f>
        <v>🔗 Ver Mapa</v>
      </c>
    </row>
    <row r="1173" spans="1:12" ht="43.5" x14ac:dyDescent="0.35">
      <c r="A1173" s="5" t="s">
        <v>206</v>
      </c>
      <c r="B1173" s="5" t="s">
        <v>207</v>
      </c>
      <c r="C1173" s="5" t="s">
        <v>208</v>
      </c>
      <c r="D1173" s="5" t="s">
        <v>34</v>
      </c>
      <c r="E1173" s="5" t="s">
        <v>209</v>
      </c>
      <c r="F1173" s="5" t="s">
        <v>210</v>
      </c>
      <c r="G1173" s="5" t="s">
        <v>211</v>
      </c>
      <c r="H1173" s="5" t="s">
        <v>212</v>
      </c>
      <c r="I1173" s="5" t="s">
        <v>213</v>
      </c>
      <c r="J1173" s="5">
        <v>17.382657999999999</v>
      </c>
      <c r="K1173" s="5">
        <v>-96.161963999999998</v>
      </c>
      <c r="L1173" s="5" t="str">
        <f>HYPERLINK("https://maps.google.com/?q=17.382658,-96.161963999999998", "🔗 Ver Mapa")</f>
        <v>🔗 Ver Mapa</v>
      </c>
    </row>
    <row r="1174" spans="1:12" ht="43.5" x14ac:dyDescent="0.35">
      <c r="A1174" s="6" t="s">
        <v>206</v>
      </c>
      <c r="B1174" s="6" t="s">
        <v>207</v>
      </c>
      <c r="C1174" s="6" t="s">
        <v>208</v>
      </c>
      <c r="D1174" s="6" t="s">
        <v>34</v>
      </c>
      <c r="E1174" s="6" t="s">
        <v>209</v>
      </c>
      <c r="F1174" s="6" t="s">
        <v>210</v>
      </c>
      <c r="G1174" s="6" t="s">
        <v>211</v>
      </c>
      <c r="H1174" s="6" t="s">
        <v>212</v>
      </c>
      <c r="I1174" s="6" t="s">
        <v>213</v>
      </c>
      <c r="J1174" s="6">
        <v>17.382783</v>
      </c>
      <c r="K1174" s="6">
        <v>-96.161782000000002</v>
      </c>
      <c r="L1174" s="6" t="str">
        <f>HYPERLINK("https://maps.google.com/?q=17.382783,-96.161782000000002", "🔗 Ver Mapa")</f>
        <v>🔗 Ver Mapa</v>
      </c>
    </row>
    <row r="1175" spans="1:12" ht="43.5" x14ac:dyDescent="0.35">
      <c r="A1175" s="5" t="s">
        <v>206</v>
      </c>
      <c r="B1175" s="5" t="s">
        <v>207</v>
      </c>
      <c r="C1175" s="5" t="s">
        <v>208</v>
      </c>
      <c r="D1175" s="5" t="s">
        <v>34</v>
      </c>
      <c r="E1175" s="5" t="s">
        <v>209</v>
      </c>
      <c r="F1175" s="5" t="s">
        <v>210</v>
      </c>
      <c r="G1175" s="5" t="s">
        <v>211</v>
      </c>
      <c r="H1175" s="5" t="s">
        <v>212</v>
      </c>
      <c r="I1175" s="5" t="s">
        <v>213</v>
      </c>
      <c r="J1175" s="5">
        <v>17.382898999999998</v>
      </c>
      <c r="K1175" s="5">
        <v>-96.161753000000004</v>
      </c>
      <c r="L1175" s="5" t="str">
        <f>HYPERLINK("https://maps.google.com/?q=17.382899,-96.161753000000004", "🔗 Ver Mapa")</f>
        <v>🔗 Ver Mapa</v>
      </c>
    </row>
    <row r="1176" spans="1:12" ht="43.5" x14ac:dyDescent="0.35">
      <c r="A1176" s="6" t="s">
        <v>206</v>
      </c>
      <c r="B1176" s="6" t="s">
        <v>207</v>
      </c>
      <c r="C1176" s="6" t="s">
        <v>208</v>
      </c>
      <c r="D1176" s="6" t="s">
        <v>34</v>
      </c>
      <c r="E1176" s="6" t="s">
        <v>209</v>
      </c>
      <c r="F1176" s="6" t="s">
        <v>210</v>
      </c>
      <c r="G1176" s="6" t="s">
        <v>211</v>
      </c>
      <c r="H1176" s="6" t="s">
        <v>212</v>
      </c>
      <c r="I1176" s="6" t="s">
        <v>213</v>
      </c>
      <c r="J1176" s="6">
        <v>17.383099999999999</v>
      </c>
      <c r="K1176" s="6">
        <v>-96.161878999999999</v>
      </c>
      <c r="L1176" s="6" t="str">
        <f>HYPERLINK("https://maps.google.com/?q=17.3831,-96.161878999999999", "🔗 Ver Mapa")</f>
        <v>🔗 Ver Mapa</v>
      </c>
    </row>
    <row r="1177" spans="1:12" ht="43.5" x14ac:dyDescent="0.35">
      <c r="A1177" s="5" t="s">
        <v>206</v>
      </c>
      <c r="B1177" s="5" t="s">
        <v>207</v>
      </c>
      <c r="C1177" s="5" t="s">
        <v>208</v>
      </c>
      <c r="D1177" s="5" t="s">
        <v>34</v>
      </c>
      <c r="E1177" s="5" t="s">
        <v>209</v>
      </c>
      <c r="F1177" s="5" t="s">
        <v>210</v>
      </c>
      <c r="G1177" s="5" t="s">
        <v>211</v>
      </c>
      <c r="H1177" s="5" t="s">
        <v>212</v>
      </c>
      <c r="I1177" s="5" t="s">
        <v>213</v>
      </c>
      <c r="J1177" s="5">
        <v>17.383386000000002</v>
      </c>
      <c r="K1177" s="5">
        <v>-96.161799999999999</v>
      </c>
      <c r="L1177" s="5" t="str">
        <f>HYPERLINK("https://maps.google.com/?q=17.383386,-96.161799999999999", "🔗 Ver Mapa")</f>
        <v>🔗 Ver Mapa</v>
      </c>
    </row>
    <row r="1178" spans="1:12" ht="43.5" x14ac:dyDescent="0.35">
      <c r="A1178" s="6" t="s">
        <v>206</v>
      </c>
      <c r="B1178" s="6" t="s">
        <v>207</v>
      </c>
      <c r="C1178" s="6" t="s">
        <v>208</v>
      </c>
      <c r="D1178" s="6" t="s">
        <v>34</v>
      </c>
      <c r="E1178" s="6" t="s">
        <v>209</v>
      </c>
      <c r="F1178" s="6" t="s">
        <v>210</v>
      </c>
      <c r="G1178" s="6" t="s">
        <v>211</v>
      </c>
      <c r="H1178" s="6" t="s">
        <v>212</v>
      </c>
      <c r="I1178" s="6" t="s">
        <v>213</v>
      </c>
      <c r="J1178" s="6">
        <v>17.383617000000001</v>
      </c>
      <c r="K1178" s="6">
        <v>-96.161801999999994</v>
      </c>
      <c r="L1178" s="6" t="str">
        <f>HYPERLINK("https://maps.google.com/?q=17.383617,-96.161801999999994", "🔗 Ver Mapa")</f>
        <v>🔗 Ver Mapa</v>
      </c>
    </row>
    <row r="1179" spans="1:12" ht="43.5" x14ac:dyDescent="0.35">
      <c r="A1179" s="5" t="s">
        <v>206</v>
      </c>
      <c r="B1179" s="5" t="s">
        <v>207</v>
      </c>
      <c r="C1179" s="5" t="s">
        <v>208</v>
      </c>
      <c r="D1179" s="5" t="s">
        <v>34</v>
      </c>
      <c r="E1179" s="5" t="s">
        <v>209</v>
      </c>
      <c r="F1179" s="5" t="s">
        <v>210</v>
      </c>
      <c r="G1179" s="5" t="s">
        <v>211</v>
      </c>
      <c r="H1179" s="5" t="s">
        <v>212</v>
      </c>
      <c r="I1179" s="5" t="s">
        <v>213</v>
      </c>
      <c r="J1179" s="5">
        <v>17.383652000000001</v>
      </c>
      <c r="K1179" s="5">
        <v>-96.161767999999995</v>
      </c>
      <c r="L1179" s="5" t="str">
        <f>HYPERLINK("https://maps.google.com/?q=17.383652,-96.161767999999995", "🔗 Ver Mapa")</f>
        <v>🔗 Ver Mapa</v>
      </c>
    </row>
    <row r="1180" spans="1:12" ht="43.5" x14ac:dyDescent="0.35">
      <c r="A1180" s="6" t="s">
        <v>206</v>
      </c>
      <c r="B1180" s="6" t="s">
        <v>207</v>
      </c>
      <c r="C1180" s="6" t="s">
        <v>208</v>
      </c>
      <c r="D1180" s="6" t="s">
        <v>34</v>
      </c>
      <c r="E1180" s="6" t="s">
        <v>209</v>
      </c>
      <c r="F1180" s="6" t="s">
        <v>210</v>
      </c>
      <c r="G1180" s="6" t="s">
        <v>211</v>
      </c>
      <c r="H1180" s="6" t="s">
        <v>212</v>
      </c>
      <c r="I1180" s="6" t="s">
        <v>213</v>
      </c>
      <c r="J1180" s="6">
        <v>17.383835999999999</v>
      </c>
      <c r="K1180" s="6">
        <v>-96.161882000000006</v>
      </c>
      <c r="L1180" s="6" t="str">
        <f>HYPERLINK("https://maps.google.com/?q=17.383836,-96.161882000000006", "🔗 Ver Mapa")</f>
        <v>🔗 Ver Mapa</v>
      </c>
    </row>
    <row r="1181" spans="1:12" ht="43.5" x14ac:dyDescent="0.35">
      <c r="A1181" s="5" t="s">
        <v>206</v>
      </c>
      <c r="B1181" s="5" t="s">
        <v>207</v>
      </c>
      <c r="C1181" s="5" t="s">
        <v>208</v>
      </c>
      <c r="D1181" s="5" t="s">
        <v>34</v>
      </c>
      <c r="E1181" s="5" t="s">
        <v>209</v>
      </c>
      <c r="F1181" s="5" t="s">
        <v>210</v>
      </c>
      <c r="G1181" s="5" t="s">
        <v>211</v>
      </c>
      <c r="H1181" s="5" t="s">
        <v>212</v>
      </c>
      <c r="I1181" s="5" t="s">
        <v>213</v>
      </c>
      <c r="J1181" s="5">
        <v>17.383863000000002</v>
      </c>
      <c r="K1181" s="5">
        <v>-96.162488999999994</v>
      </c>
      <c r="L1181" s="5" t="str">
        <f>HYPERLINK("https://maps.google.com/?q=17.383863,-96.162488999999994", "🔗 Ver Mapa")</f>
        <v>🔗 Ver Mapa</v>
      </c>
    </row>
    <row r="1182" spans="1:12" ht="43.5" x14ac:dyDescent="0.35">
      <c r="A1182" s="6" t="s">
        <v>206</v>
      </c>
      <c r="B1182" s="6" t="s">
        <v>207</v>
      </c>
      <c r="C1182" s="6" t="s">
        <v>208</v>
      </c>
      <c r="D1182" s="6" t="s">
        <v>34</v>
      </c>
      <c r="E1182" s="6" t="s">
        <v>209</v>
      </c>
      <c r="F1182" s="6" t="s">
        <v>210</v>
      </c>
      <c r="G1182" s="6" t="s">
        <v>211</v>
      </c>
      <c r="H1182" s="6" t="s">
        <v>212</v>
      </c>
      <c r="I1182" s="6" t="s">
        <v>213</v>
      </c>
      <c r="J1182" s="6">
        <v>17.384</v>
      </c>
      <c r="K1182" s="6">
        <v>-96.162154999999998</v>
      </c>
      <c r="L1182" s="6" t="str">
        <f>HYPERLINK("https://maps.google.com/?q=17.384,-96.162154999999998", "🔗 Ver Mapa")</f>
        <v>🔗 Ver Mapa</v>
      </c>
    </row>
    <row r="1183" spans="1:12" ht="43.5" x14ac:dyDescent="0.35">
      <c r="A1183" s="5" t="s">
        <v>206</v>
      </c>
      <c r="B1183" s="5" t="s">
        <v>207</v>
      </c>
      <c r="C1183" s="5" t="s">
        <v>214</v>
      </c>
      <c r="D1183" s="5" t="s">
        <v>34</v>
      </c>
      <c r="E1183" s="5" t="s">
        <v>37</v>
      </c>
      <c r="F1183" s="5" t="s">
        <v>41</v>
      </c>
      <c r="G1183" s="5" t="s">
        <v>215</v>
      </c>
      <c r="H1183" s="5" t="s">
        <v>216</v>
      </c>
      <c r="I1183" s="5" t="s">
        <v>213</v>
      </c>
      <c r="J1183" s="5">
        <v>17.099537000000002</v>
      </c>
      <c r="K1183" s="5" t="s">
        <v>217</v>
      </c>
      <c r="L1183" s="5" t="str">
        <f>HYPERLINK("https://maps.google.com/?q=17.099537, -96.771046", "🔗 Ver Mapa")</f>
        <v>🔗 Ver Mapa</v>
      </c>
    </row>
    <row r="1184" spans="1:12" ht="43.5" x14ac:dyDescent="0.35">
      <c r="A1184" s="6" t="s">
        <v>206</v>
      </c>
      <c r="B1184" s="6" t="s">
        <v>207</v>
      </c>
      <c r="C1184" s="6" t="s">
        <v>214</v>
      </c>
      <c r="D1184" s="6" t="s">
        <v>34</v>
      </c>
      <c r="E1184" s="6" t="s">
        <v>37</v>
      </c>
      <c r="F1184" s="6" t="s">
        <v>41</v>
      </c>
      <c r="G1184" s="6" t="s">
        <v>215</v>
      </c>
      <c r="H1184" s="6" t="s">
        <v>216</v>
      </c>
      <c r="I1184" s="6" t="s">
        <v>213</v>
      </c>
      <c r="J1184" s="6">
        <v>17.099668000000001</v>
      </c>
      <c r="K1184" s="6" t="s">
        <v>218</v>
      </c>
      <c r="L1184" s="6" t="str">
        <f>HYPERLINK("https://maps.google.com/?q=17.099668, -96.771136", "🔗 Ver Mapa")</f>
        <v>🔗 Ver Mapa</v>
      </c>
    </row>
    <row r="1185" spans="1:12" ht="43.5" x14ac:dyDescent="0.35">
      <c r="A1185" s="5" t="s">
        <v>206</v>
      </c>
      <c r="B1185" s="5" t="s">
        <v>207</v>
      </c>
      <c r="C1185" s="5" t="s">
        <v>214</v>
      </c>
      <c r="D1185" s="5" t="s">
        <v>34</v>
      </c>
      <c r="E1185" s="5" t="s">
        <v>37</v>
      </c>
      <c r="F1185" s="5" t="s">
        <v>41</v>
      </c>
      <c r="G1185" s="5" t="s">
        <v>215</v>
      </c>
      <c r="H1185" s="5" t="s">
        <v>216</v>
      </c>
      <c r="I1185" s="5" t="s">
        <v>213</v>
      </c>
      <c r="J1185" s="5">
        <v>17.100080999999999</v>
      </c>
      <c r="K1185" s="5" t="s">
        <v>219</v>
      </c>
      <c r="L1185" s="5" t="str">
        <f>HYPERLINK("https://maps.google.com/?q=17.100081, -96.771362", "🔗 Ver Mapa")</f>
        <v>🔗 Ver Mapa</v>
      </c>
    </row>
    <row r="1186" spans="1:12" ht="43.5" x14ac:dyDescent="0.35">
      <c r="A1186" s="6" t="s">
        <v>206</v>
      </c>
      <c r="B1186" s="6" t="s">
        <v>207</v>
      </c>
      <c r="C1186" s="6" t="s">
        <v>214</v>
      </c>
      <c r="D1186" s="6" t="s">
        <v>34</v>
      </c>
      <c r="E1186" s="6" t="s">
        <v>37</v>
      </c>
      <c r="F1186" s="6" t="s">
        <v>41</v>
      </c>
      <c r="G1186" s="6" t="s">
        <v>215</v>
      </c>
      <c r="H1186" s="6" t="s">
        <v>216</v>
      </c>
      <c r="I1186" s="6" t="s">
        <v>213</v>
      </c>
      <c r="J1186" s="6">
        <v>17.100292</v>
      </c>
      <c r="K1186" s="6" t="s">
        <v>220</v>
      </c>
      <c r="L1186" s="6" t="str">
        <f>HYPERLINK("https://maps.google.com/?q=17.100292, -96.771500", "🔗 Ver Mapa")</f>
        <v>🔗 Ver Mapa</v>
      </c>
    </row>
    <row r="1187" spans="1:12" ht="43.5" x14ac:dyDescent="0.35">
      <c r="A1187" s="5" t="s">
        <v>206</v>
      </c>
      <c r="B1187" s="5" t="s">
        <v>207</v>
      </c>
      <c r="C1187" s="5" t="s">
        <v>214</v>
      </c>
      <c r="D1187" s="5" t="s">
        <v>34</v>
      </c>
      <c r="E1187" s="5" t="s">
        <v>37</v>
      </c>
      <c r="F1187" s="5" t="s">
        <v>41</v>
      </c>
      <c r="G1187" s="5" t="s">
        <v>215</v>
      </c>
      <c r="H1187" s="5" t="s">
        <v>216</v>
      </c>
      <c r="I1187" s="5" t="s">
        <v>213</v>
      </c>
      <c r="J1187" s="5">
        <v>17.100503</v>
      </c>
      <c r="K1187" s="5" t="s">
        <v>221</v>
      </c>
      <c r="L1187" s="5" t="str">
        <f>HYPERLINK("https://maps.google.com/?q=17.100503, -96.771652", "🔗 Ver Mapa")</f>
        <v>🔗 Ver Mapa</v>
      </c>
    </row>
    <row r="1188" spans="1:12" ht="43.5" x14ac:dyDescent="0.35">
      <c r="A1188" s="6" t="s">
        <v>206</v>
      </c>
      <c r="B1188" s="6" t="s">
        <v>207</v>
      </c>
      <c r="C1188" s="6" t="s">
        <v>214</v>
      </c>
      <c r="D1188" s="6" t="s">
        <v>34</v>
      </c>
      <c r="E1188" s="6" t="s">
        <v>37</v>
      </c>
      <c r="F1188" s="6" t="s">
        <v>41</v>
      </c>
      <c r="G1188" s="6" t="s">
        <v>215</v>
      </c>
      <c r="H1188" s="6" t="s">
        <v>216</v>
      </c>
      <c r="I1188" s="6" t="s">
        <v>213</v>
      </c>
      <c r="J1188" s="6">
        <v>17.100652</v>
      </c>
      <c r="K1188" s="6" t="s">
        <v>222</v>
      </c>
      <c r="L1188" s="6" t="str">
        <f>HYPERLINK("https://maps.google.com/?q=17.100652, -96.771766", "🔗 Ver Mapa")</f>
        <v>🔗 Ver Mapa</v>
      </c>
    </row>
    <row r="1189" spans="1:12" ht="43.5" x14ac:dyDescent="0.35">
      <c r="A1189" s="5" t="s">
        <v>206</v>
      </c>
      <c r="B1189" s="5" t="s">
        <v>207</v>
      </c>
      <c r="C1189" s="5" t="s">
        <v>214</v>
      </c>
      <c r="D1189" s="5" t="s">
        <v>34</v>
      </c>
      <c r="E1189" s="5" t="s">
        <v>37</v>
      </c>
      <c r="F1189" s="5" t="s">
        <v>41</v>
      </c>
      <c r="G1189" s="5" t="s">
        <v>215</v>
      </c>
      <c r="H1189" s="5" t="s">
        <v>216</v>
      </c>
      <c r="I1189" s="5" t="s">
        <v>213</v>
      </c>
      <c r="J1189" s="5">
        <v>17.101191</v>
      </c>
      <c r="K1189" s="5" t="s">
        <v>223</v>
      </c>
      <c r="L1189" s="5" t="str">
        <f>HYPERLINK("https://maps.google.com/?q=17.101191, -96.772190", "🔗 Ver Mapa")</f>
        <v>🔗 Ver Mapa</v>
      </c>
    </row>
    <row r="1190" spans="1:12" ht="43.5" x14ac:dyDescent="0.35">
      <c r="A1190" s="6" t="s">
        <v>206</v>
      </c>
      <c r="B1190" s="6" t="s">
        <v>207</v>
      </c>
      <c r="C1190" s="6" t="s">
        <v>214</v>
      </c>
      <c r="D1190" s="6" t="s">
        <v>34</v>
      </c>
      <c r="E1190" s="6" t="s">
        <v>37</v>
      </c>
      <c r="F1190" s="6" t="s">
        <v>41</v>
      </c>
      <c r="G1190" s="6" t="s">
        <v>215</v>
      </c>
      <c r="H1190" s="6" t="s">
        <v>216</v>
      </c>
      <c r="I1190" s="6" t="s">
        <v>213</v>
      </c>
      <c r="J1190" s="6">
        <v>17.10154</v>
      </c>
      <c r="K1190" s="6" t="s">
        <v>224</v>
      </c>
      <c r="L1190" s="6" t="str">
        <f>HYPERLINK("https://maps.google.com/?q=17.10154, -96.772508", "🔗 Ver Mapa")</f>
        <v>🔗 Ver Mapa</v>
      </c>
    </row>
    <row r="1191" spans="1:12" ht="43.5" x14ac:dyDescent="0.35">
      <c r="A1191" s="5" t="s">
        <v>206</v>
      </c>
      <c r="B1191" s="5" t="s">
        <v>207</v>
      </c>
      <c r="C1191" s="5" t="s">
        <v>214</v>
      </c>
      <c r="D1191" s="5" t="s">
        <v>34</v>
      </c>
      <c r="E1191" s="5" t="s">
        <v>37</v>
      </c>
      <c r="F1191" s="5" t="s">
        <v>41</v>
      </c>
      <c r="G1191" s="5" t="s">
        <v>215</v>
      </c>
      <c r="H1191" s="5" t="s">
        <v>216</v>
      </c>
      <c r="I1191" s="5" t="s">
        <v>213</v>
      </c>
      <c r="J1191" s="5">
        <v>17.101672000000001</v>
      </c>
      <c r="K1191" s="5" t="s">
        <v>225</v>
      </c>
      <c r="L1191" s="5" t="str">
        <f>HYPERLINK("https://maps.google.com/?q=17.101672, -96.772640", "🔗 Ver Mapa")</f>
        <v>🔗 Ver Mapa</v>
      </c>
    </row>
    <row r="1192" spans="1:12" ht="43.5" x14ac:dyDescent="0.35">
      <c r="A1192" s="6" t="s">
        <v>206</v>
      </c>
      <c r="B1192" s="6" t="s">
        <v>207</v>
      </c>
      <c r="C1192" s="6" t="s">
        <v>214</v>
      </c>
      <c r="D1192" s="6" t="s">
        <v>34</v>
      </c>
      <c r="E1192" s="6" t="s">
        <v>37</v>
      </c>
      <c r="F1192" s="6" t="s">
        <v>41</v>
      </c>
      <c r="G1192" s="6" t="s">
        <v>215</v>
      </c>
      <c r="H1192" s="6" t="s">
        <v>216</v>
      </c>
      <c r="I1192" s="6" t="s">
        <v>213</v>
      </c>
      <c r="J1192" s="6">
        <v>17.102072</v>
      </c>
      <c r="K1192" s="6" t="s">
        <v>226</v>
      </c>
      <c r="L1192" s="6" t="str">
        <f>HYPERLINK("https://maps.google.com/?q=17.102072, -96.773058", "🔗 Ver Mapa")</f>
        <v>🔗 Ver Mapa</v>
      </c>
    </row>
    <row r="1193" spans="1:12" ht="43.5" x14ac:dyDescent="0.35">
      <c r="A1193" s="5" t="s">
        <v>206</v>
      </c>
      <c r="B1193" s="5" t="s">
        <v>207</v>
      </c>
      <c r="C1193" s="5" t="s">
        <v>214</v>
      </c>
      <c r="D1193" s="5" t="s">
        <v>34</v>
      </c>
      <c r="E1193" s="5" t="s">
        <v>37</v>
      </c>
      <c r="F1193" s="5" t="s">
        <v>41</v>
      </c>
      <c r="G1193" s="5" t="s">
        <v>215</v>
      </c>
      <c r="H1193" s="5" t="s">
        <v>216</v>
      </c>
      <c r="I1193" s="5" t="s">
        <v>213</v>
      </c>
      <c r="J1193" s="5">
        <v>17.102515</v>
      </c>
      <c r="K1193" s="5" t="s">
        <v>227</v>
      </c>
      <c r="L1193" s="5" t="str">
        <f>HYPERLINK("https://maps.google.com/?q=17.102515, -96.773515", "🔗 Ver Mapa")</f>
        <v>🔗 Ver Mapa</v>
      </c>
    </row>
    <row r="1194" spans="1:12" ht="43.5" x14ac:dyDescent="0.35">
      <c r="A1194" s="6" t="s">
        <v>206</v>
      </c>
      <c r="B1194" s="6" t="s">
        <v>207</v>
      </c>
      <c r="C1194" s="6" t="s">
        <v>214</v>
      </c>
      <c r="D1194" s="6" t="s">
        <v>34</v>
      </c>
      <c r="E1194" s="6" t="s">
        <v>37</v>
      </c>
      <c r="F1194" s="6" t="s">
        <v>41</v>
      </c>
      <c r="G1194" s="6" t="s">
        <v>215</v>
      </c>
      <c r="H1194" s="6" t="s">
        <v>216</v>
      </c>
      <c r="I1194" s="6" t="s">
        <v>213</v>
      </c>
      <c r="J1194" s="6">
        <v>17.102591</v>
      </c>
      <c r="K1194" s="6" t="s">
        <v>228</v>
      </c>
      <c r="L1194" s="6" t="str">
        <f>HYPERLINK("https://maps.google.com/?q=17.102591, -96.773586", "🔗 Ver Mapa")</f>
        <v>🔗 Ver Mapa</v>
      </c>
    </row>
    <row r="1195" spans="1:12" ht="43.5" x14ac:dyDescent="0.35">
      <c r="A1195" s="5" t="s">
        <v>206</v>
      </c>
      <c r="B1195" s="5" t="s">
        <v>207</v>
      </c>
      <c r="C1195" s="5" t="s">
        <v>214</v>
      </c>
      <c r="D1195" s="5" t="s">
        <v>34</v>
      </c>
      <c r="E1195" s="5" t="s">
        <v>37</v>
      </c>
      <c r="F1195" s="5" t="s">
        <v>41</v>
      </c>
      <c r="G1195" s="5" t="s">
        <v>215</v>
      </c>
      <c r="H1195" s="5" t="s">
        <v>216</v>
      </c>
      <c r="I1195" s="5" t="s">
        <v>213</v>
      </c>
      <c r="J1195" s="5">
        <v>17.102713999999999</v>
      </c>
      <c r="K1195" s="5" t="s">
        <v>229</v>
      </c>
      <c r="L1195" s="5" t="str">
        <f>HYPERLINK("https://maps.google.com/?q=17.102714, -96.773707", "🔗 Ver Mapa")</f>
        <v>🔗 Ver Mapa</v>
      </c>
    </row>
    <row r="1196" spans="1:12" ht="43.5" x14ac:dyDescent="0.35">
      <c r="A1196" s="6" t="s">
        <v>206</v>
      </c>
      <c r="B1196" s="6" t="s">
        <v>207</v>
      </c>
      <c r="C1196" s="6" t="s">
        <v>214</v>
      </c>
      <c r="D1196" s="6" t="s">
        <v>34</v>
      </c>
      <c r="E1196" s="6" t="s">
        <v>37</v>
      </c>
      <c r="F1196" s="6" t="s">
        <v>41</v>
      </c>
      <c r="G1196" s="6" t="s">
        <v>215</v>
      </c>
      <c r="H1196" s="6" t="s">
        <v>216</v>
      </c>
      <c r="I1196" s="6" t="s">
        <v>213</v>
      </c>
      <c r="J1196" s="6">
        <v>17.103100999999999</v>
      </c>
      <c r="K1196" s="6" t="s">
        <v>230</v>
      </c>
      <c r="L1196" s="6" t="str">
        <f>HYPERLINK("https://maps.google.com/?q=17.103101, -96.774082", "🔗 Ver Mapa")</f>
        <v>🔗 Ver Mapa</v>
      </c>
    </row>
    <row r="1197" spans="1:12" ht="43.5" x14ac:dyDescent="0.35">
      <c r="A1197" s="5" t="s">
        <v>206</v>
      </c>
      <c r="B1197" s="5" t="s">
        <v>207</v>
      </c>
      <c r="C1197" s="5" t="s">
        <v>214</v>
      </c>
      <c r="D1197" s="5" t="s">
        <v>34</v>
      </c>
      <c r="E1197" s="5" t="s">
        <v>37</v>
      </c>
      <c r="F1197" s="5" t="s">
        <v>41</v>
      </c>
      <c r="G1197" s="5" t="s">
        <v>215</v>
      </c>
      <c r="H1197" s="5" t="s">
        <v>216</v>
      </c>
      <c r="I1197" s="5" t="s">
        <v>213</v>
      </c>
      <c r="J1197" s="5">
        <v>17.103301999999999</v>
      </c>
      <c r="K1197" s="5" t="s">
        <v>231</v>
      </c>
      <c r="L1197" s="5" t="str">
        <f>HYPERLINK("https://maps.google.com/?q=17.103302, -96.774275", "🔗 Ver Mapa")</f>
        <v>🔗 Ver Mapa</v>
      </c>
    </row>
    <row r="1198" spans="1:12" ht="43.5" x14ac:dyDescent="0.35">
      <c r="A1198" s="6" t="s">
        <v>206</v>
      </c>
      <c r="B1198" s="6" t="s">
        <v>207</v>
      </c>
      <c r="C1198" s="6" t="s">
        <v>214</v>
      </c>
      <c r="D1198" s="6" t="s">
        <v>34</v>
      </c>
      <c r="E1198" s="6" t="s">
        <v>37</v>
      </c>
      <c r="F1198" s="6" t="s">
        <v>41</v>
      </c>
      <c r="G1198" s="6" t="s">
        <v>215</v>
      </c>
      <c r="H1198" s="6" t="s">
        <v>216</v>
      </c>
      <c r="I1198" s="6" t="s">
        <v>213</v>
      </c>
      <c r="J1198" s="6">
        <v>17.103459000000001</v>
      </c>
      <c r="K1198" s="6" t="s">
        <v>232</v>
      </c>
      <c r="L1198" s="6" t="str">
        <f>HYPERLINK("https://maps.google.com/?q=17.103459, -96.774484", "🔗 Ver Mapa")</f>
        <v>🔗 Ver Mapa</v>
      </c>
    </row>
    <row r="1199" spans="1:12" ht="43.5" x14ac:dyDescent="0.35">
      <c r="A1199" s="5" t="s">
        <v>206</v>
      </c>
      <c r="B1199" s="5" t="s">
        <v>207</v>
      </c>
      <c r="C1199" s="5" t="s">
        <v>214</v>
      </c>
      <c r="D1199" s="5" t="s">
        <v>34</v>
      </c>
      <c r="E1199" s="5" t="s">
        <v>37</v>
      </c>
      <c r="F1199" s="5" t="s">
        <v>41</v>
      </c>
      <c r="G1199" s="5" t="s">
        <v>215</v>
      </c>
      <c r="H1199" s="5" t="s">
        <v>216</v>
      </c>
      <c r="I1199" s="5" t="s">
        <v>213</v>
      </c>
      <c r="J1199" s="5">
        <v>17.103546000000001</v>
      </c>
      <c r="K1199" s="5" t="s">
        <v>233</v>
      </c>
      <c r="L1199" s="5" t="str">
        <f>HYPERLINK("https://maps.google.com/?q=17.103546, -96.774551", "🔗 Ver Mapa")</f>
        <v>🔗 Ver Mapa</v>
      </c>
    </row>
    <row r="1200" spans="1:12" ht="43.5" x14ac:dyDescent="0.35">
      <c r="A1200" s="6" t="s">
        <v>206</v>
      </c>
      <c r="B1200" s="6" t="s">
        <v>207</v>
      </c>
      <c r="C1200" s="6" t="s">
        <v>214</v>
      </c>
      <c r="D1200" s="6" t="s">
        <v>34</v>
      </c>
      <c r="E1200" s="6" t="s">
        <v>37</v>
      </c>
      <c r="F1200" s="6" t="s">
        <v>41</v>
      </c>
      <c r="G1200" s="6" t="s">
        <v>215</v>
      </c>
      <c r="H1200" s="6" t="s">
        <v>216</v>
      </c>
      <c r="I1200" s="6" t="s">
        <v>213</v>
      </c>
      <c r="J1200" s="6">
        <v>17.103607</v>
      </c>
      <c r="K1200" s="6" t="s">
        <v>234</v>
      </c>
      <c r="L1200" s="6" t="str">
        <f>HYPERLINK("https://maps.google.com/?q=17.103607, -96.774815", "🔗 Ver Mapa")</f>
        <v>🔗 Ver Mapa</v>
      </c>
    </row>
    <row r="1201" spans="1:12" ht="43.5" x14ac:dyDescent="0.35">
      <c r="A1201" s="5" t="s">
        <v>206</v>
      </c>
      <c r="B1201" s="5" t="s">
        <v>207</v>
      </c>
      <c r="C1201" s="5" t="s">
        <v>214</v>
      </c>
      <c r="D1201" s="5" t="s">
        <v>34</v>
      </c>
      <c r="E1201" s="5" t="s">
        <v>37</v>
      </c>
      <c r="F1201" s="5" t="s">
        <v>41</v>
      </c>
      <c r="G1201" s="5" t="s">
        <v>215</v>
      </c>
      <c r="H1201" s="5" t="s">
        <v>216</v>
      </c>
      <c r="I1201" s="5" t="s">
        <v>213</v>
      </c>
      <c r="J1201" s="5">
        <v>17.103646000000001</v>
      </c>
      <c r="K1201" s="5" t="s">
        <v>235</v>
      </c>
      <c r="L1201" s="5" t="str">
        <f>HYPERLINK("https://maps.google.com/?q=17.103646, -96.774950", "🔗 Ver Mapa")</f>
        <v>🔗 Ver Mapa</v>
      </c>
    </row>
    <row r="1202" spans="1:12" ht="43.5" x14ac:dyDescent="0.35">
      <c r="A1202" s="6" t="s">
        <v>206</v>
      </c>
      <c r="B1202" s="6" t="s">
        <v>207</v>
      </c>
      <c r="C1202" s="6" t="s">
        <v>214</v>
      </c>
      <c r="D1202" s="6" t="s">
        <v>34</v>
      </c>
      <c r="E1202" s="6" t="s">
        <v>37</v>
      </c>
      <c r="F1202" s="6" t="s">
        <v>41</v>
      </c>
      <c r="G1202" s="6" t="s">
        <v>215</v>
      </c>
      <c r="H1202" s="6" t="s">
        <v>216</v>
      </c>
      <c r="I1202" s="6" t="s">
        <v>213</v>
      </c>
      <c r="J1202" s="6">
        <v>17.103715000000001</v>
      </c>
      <c r="K1202" s="6" t="s">
        <v>236</v>
      </c>
      <c r="L1202" s="6" t="str">
        <f>HYPERLINK("https://maps.google.com/?q=17.103715, -96.775335", "🔗 Ver Mapa")</f>
        <v>🔗 Ver Mapa</v>
      </c>
    </row>
    <row r="1203" spans="1:12" ht="43.5" x14ac:dyDescent="0.35">
      <c r="A1203" s="5" t="s">
        <v>206</v>
      </c>
      <c r="B1203" s="5" t="s">
        <v>207</v>
      </c>
      <c r="C1203" s="5" t="s">
        <v>214</v>
      </c>
      <c r="D1203" s="5" t="s">
        <v>34</v>
      </c>
      <c r="E1203" s="5" t="s">
        <v>37</v>
      </c>
      <c r="F1203" s="5" t="s">
        <v>41</v>
      </c>
      <c r="G1203" s="5" t="s">
        <v>215</v>
      </c>
      <c r="H1203" s="5" t="s">
        <v>216</v>
      </c>
      <c r="I1203" s="5" t="s">
        <v>213</v>
      </c>
      <c r="J1203" s="5">
        <v>17.103742</v>
      </c>
      <c r="K1203" s="5" t="s">
        <v>237</v>
      </c>
      <c r="L1203" s="5" t="str">
        <f>HYPERLINK("https://maps.google.com/?q=17.103742, -96.775510", "🔗 Ver Mapa")</f>
        <v>🔗 Ver Mapa</v>
      </c>
    </row>
    <row r="1204" spans="1:12" ht="43.5" x14ac:dyDescent="0.35">
      <c r="A1204" s="6" t="s">
        <v>206</v>
      </c>
      <c r="B1204" s="6" t="s">
        <v>207</v>
      </c>
      <c r="C1204" s="6" t="s">
        <v>214</v>
      </c>
      <c r="D1204" s="6" t="s">
        <v>34</v>
      </c>
      <c r="E1204" s="6" t="s">
        <v>37</v>
      </c>
      <c r="F1204" s="6" t="s">
        <v>41</v>
      </c>
      <c r="G1204" s="6" t="s">
        <v>215</v>
      </c>
      <c r="H1204" s="6" t="s">
        <v>216</v>
      </c>
      <c r="I1204" s="6" t="s">
        <v>213</v>
      </c>
      <c r="J1204" s="6">
        <v>17.103807</v>
      </c>
      <c r="K1204" s="6" t="s">
        <v>238</v>
      </c>
      <c r="L1204" s="6" t="str">
        <f>HYPERLINK("https://maps.google.com/?q=17.103807, -96.775940", "🔗 Ver Mapa")</f>
        <v>🔗 Ver Mapa</v>
      </c>
    </row>
    <row r="1205" spans="1:12" ht="43.5" x14ac:dyDescent="0.35">
      <c r="A1205" s="5" t="s">
        <v>206</v>
      </c>
      <c r="B1205" s="5" t="s">
        <v>207</v>
      </c>
      <c r="C1205" s="5" t="s">
        <v>214</v>
      </c>
      <c r="D1205" s="5" t="s">
        <v>34</v>
      </c>
      <c r="E1205" s="5" t="s">
        <v>37</v>
      </c>
      <c r="F1205" s="5" t="s">
        <v>41</v>
      </c>
      <c r="G1205" s="5" t="s">
        <v>215</v>
      </c>
      <c r="H1205" s="5" t="s">
        <v>216</v>
      </c>
      <c r="I1205" s="5" t="s">
        <v>213</v>
      </c>
      <c r="J1205" s="5">
        <v>17.103881000000001</v>
      </c>
      <c r="K1205" s="5" t="s">
        <v>239</v>
      </c>
      <c r="L1205" s="5" t="str">
        <f>HYPERLINK("https://maps.google.com/?q=17.103881, -96.776193", "🔗 Ver Mapa")</f>
        <v>🔗 Ver Mapa</v>
      </c>
    </row>
    <row r="1206" spans="1:12" ht="43.5" x14ac:dyDescent="0.35">
      <c r="A1206" s="6" t="s">
        <v>206</v>
      </c>
      <c r="B1206" s="6" t="s">
        <v>207</v>
      </c>
      <c r="C1206" s="6" t="s">
        <v>214</v>
      </c>
      <c r="D1206" s="6" t="s">
        <v>34</v>
      </c>
      <c r="E1206" s="6" t="s">
        <v>37</v>
      </c>
      <c r="F1206" s="6" t="s">
        <v>41</v>
      </c>
      <c r="G1206" s="6" t="s">
        <v>215</v>
      </c>
      <c r="H1206" s="6" t="s">
        <v>216</v>
      </c>
      <c r="I1206" s="6" t="s">
        <v>213</v>
      </c>
      <c r="J1206" s="6">
        <v>17.103971000000001</v>
      </c>
      <c r="K1206" s="6" t="s">
        <v>240</v>
      </c>
      <c r="L1206" s="6" t="str">
        <f>HYPERLINK("https://maps.google.com/?q=17.103971, -96.776485", "🔗 Ver Mapa")</f>
        <v>🔗 Ver Mapa</v>
      </c>
    </row>
    <row r="1207" spans="1:12" ht="43.5" x14ac:dyDescent="0.35">
      <c r="A1207" s="5" t="s">
        <v>206</v>
      </c>
      <c r="B1207" s="5" t="s">
        <v>207</v>
      </c>
      <c r="C1207" s="5" t="s">
        <v>214</v>
      </c>
      <c r="D1207" s="5" t="s">
        <v>34</v>
      </c>
      <c r="E1207" s="5" t="s">
        <v>37</v>
      </c>
      <c r="F1207" s="5" t="s">
        <v>41</v>
      </c>
      <c r="G1207" s="5" t="s">
        <v>215</v>
      </c>
      <c r="H1207" s="5" t="s">
        <v>216</v>
      </c>
      <c r="I1207" s="5" t="s">
        <v>213</v>
      </c>
      <c r="J1207" s="5">
        <v>17.104054999999999</v>
      </c>
      <c r="K1207" s="5" t="s">
        <v>241</v>
      </c>
      <c r="L1207" s="5" t="str">
        <f>HYPERLINK("https://maps.google.com/?q=17.104055, -96.776773", "🔗 Ver Mapa")</f>
        <v>🔗 Ver Mapa</v>
      </c>
    </row>
    <row r="1208" spans="1:12" ht="43.5" x14ac:dyDescent="0.35">
      <c r="A1208" s="6" t="s">
        <v>206</v>
      </c>
      <c r="B1208" s="6" t="s">
        <v>207</v>
      </c>
      <c r="C1208" s="6" t="s">
        <v>214</v>
      </c>
      <c r="D1208" s="6" t="s">
        <v>34</v>
      </c>
      <c r="E1208" s="6" t="s">
        <v>37</v>
      </c>
      <c r="F1208" s="6" t="s">
        <v>41</v>
      </c>
      <c r="G1208" s="6" t="s">
        <v>215</v>
      </c>
      <c r="H1208" s="6" t="s">
        <v>216</v>
      </c>
      <c r="I1208" s="6" t="s">
        <v>213</v>
      </c>
      <c r="J1208" s="6">
        <v>17.104130000000001</v>
      </c>
      <c r="K1208" s="6" t="s">
        <v>242</v>
      </c>
      <c r="L1208" s="6" t="str">
        <f>HYPERLINK("https://maps.google.com/?q=17.10413, -96.777046", "🔗 Ver Mapa")</f>
        <v>🔗 Ver Mapa</v>
      </c>
    </row>
    <row r="1209" spans="1:12" ht="43.5" x14ac:dyDescent="0.35">
      <c r="A1209" s="5" t="s">
        <v>206</v>
      </c>
      <c r="B1209" s="5" t="s">
        <v>207</v>
      </c>
      <c r="C1209" s="5" t="s">
        <v>214</v>
      </c>
      <c r="D1209" s="5" t="s">
        <v>34</v>
      </c>
      <c r="E1209" s="5" t="s">
        <v>37</v>
      </c>
      <c r="F1209" s="5" t="s">
        <v>41</v>
      </c>
      <c r="G1209" s="5" t="s">
        <v>215</v>
      </c>
      <c r="H1209" s="5" t="s">
        <v>216</v>
      </c>
      <c r="I1209" s="5" t="s">
        <v>213</v>
      </c>
      <c r="J1209" s="5">
        <v>17.104198</v>
      </c>
      <c r="K1209" s="5" t="s">
        <v>243</v>
      </c>
      <c r="L1209" s="5" t="str">
        <f>HYPERLINK("https://maps.google.com/?q=17.104198, -96.777330", "🔗 Ver Mapa")</f>
        <v>🔗 Ver Mapa</v>
      </c>
    </row>
    <row r="1210" spans="1:12" ht="43.5" x14ac:dyDescent="0.35">
      <c r="A1210" s="6" t="s">
        <v>206</v>
      </c>
      <c r="B1210" s="6" t="s">
        <v>207</v>
      </c>
      <c r="C1210" s="6" t="s">
        <v>214</v>
      </c>
      <c r="D1210" s="6" t="s">
        <v>34</v>
      </c>
      <c r="E1210" s="6" t="s">
        <v>37</v>
      </c>
      <c r="F1210" s="6" t="s">
        <v>41</v>
      </c>
      <c r="G1210" s="6" t="s">
        <v>215</v>
      </c>
      <c r="H1210" s="6" t="s">
        <v>216</v>
      </c>
      <c r="I1210" s="6" t="s">
        <v>213</v>
      </c>
      <c r="J1210" s="6">
        <v>17.104251000000001</v>
      </c>
      <c r="K1210" s="6" t="s">
        <v>244</v>
      </c>
      <c r="L1210" s="6" t="str">
        <f>HYPERLINK("https://maps.google.com/?q=17.104251, -96.777558", "🔗 Ver Mapa")</f>
        <v>🔗 Ver Mapa</v>
      </c>
    </row>
    <row r="1211" spans="1:12" ht="43.5" x14ac:dyDescent="0.35">
      <c r="A1211" s="5" t="s">
        <v>206</v>
      </c>
      <c r="B1211" s="5" t="s">
        <v>207</v>
      </c>
      <c r="C1211" s="5" t="s">
        <v>214</v>
      </c>
      <c r="D1211" s="5" t="s">
        <v>34</v>
      </c>
      <c r="E1211" s="5" t="s">
        <v>37</v>
      </c>
      <c r="F1211" s="5" t="s">
        <v>41</v>
      </c>
      <c r="G1211" s="5" t="s">
        <v>215</v>
      </c>
      <c r="H1211" s="5" t="s">
        <v>216</v>
      </c>
      <c r="I1211" s="5" t="s">
        <v>213</v>
      </c>
      <c r="J1211" s="5">
        <v>17.104329</v>
      </c>
      <c r="K1211" s="5" t="s">
        <v>245</v>
      </c>
      <c r="L1211" s="5" t="str">
        <f>HYPERLINK("https://maps.google.com/?q=17.104329, -96.777893", "🔗 Ver Mapa")</f>
        <v>🔗 Ver Mapa</v>
      </c>
    </row>
    <row r="1212" spans="1:12" ht="43.5" x14ac:dyDescent="0.35">
      <c r="A1212" s="6" t="s">
        <v>206</v>
      </c>
      <c r="B1212" s="6" t="s">
        <v>207</v>
      </c>
      <c r="C1212" s="6" t="s">
        <v>214</v>
      </c>
      <c r="D1212" s="6" t="s">
        <v>34</v>
      </c>
      <c r="E1212" s="6" t="s">
        <v>37</v>
      </c>
      <c r="F1212" s="6" t="s">
        <v>41</v>
      </c>
      <c r="G1212" s="6" t="s">
        <v>215</v>
      </c>
      <c r="H1212" s="6" t="s">
        <v>216</v>
      </c>
      <c r="I1212" s="6" t="s">
        <v>213</v>
      </c>
      <c r="J1212" s="6">
        <v>17.104389999999999</v>
      </c>
      <c r="K1212" s="6" t="s">
        <v>246</v>
      </c>
      <c r="L1212" s="6" t="str">
        <f>HYPERLINK("https://maps.google.com/?q=17.10439, -96.778130", "🔗 Ver Mapa")</f>
        <v>🔗 Ver Mapa</v>
      </c>
    </row>
    <row r="1213" spans="1:12" ht="43.5" x14ac:dyDescent="0.35">
      <c r="A1213" s="5" t="s">
        <v>206</v>
      </c>
      <c r="B1213" s="5" t="s">
        <v>207</v>
      </c>
      <c r="C1213" s="5" t="s">
        <v>214</v>
      </c>
      <c r="D1213" s="5" t="s">
        <v>34</v>
      </c>
      <c r="E1213" s="5" t="s">
        <v>37</v>
      </c>
      <c r="F1213" s="5" t="s">
        <v>41</v>
      </c>
      <c r="G1213" s="5" t="s">
        <v>215</v>
      </c>
      <c r="H1213" s="5" t="s">
        <v>216</v>
      </c>
      <c r="I1213" s="5" t="s">
        <v>213</v>
      </c>
      <c r="J1213" s="5">
        <v>17.104430000000001</v>
      </c>
      <c r="K1213" s="5" t="s">
        <v>247</v>
      </c>
      <c r="L1213" s="5" t="str">
        <f>HYPERLINK("https://maps.google.com/?q=17.10443, -96.778279", "🔗 Ver Mapa")</f>
        <v>🔗 Ver Mapa</v>
      </c>
    </row>
    <row r="1214" spans="1:12" ht="43.5" x14ac:dyDescent="0.35">
      <c r="A1214" s="6" t="s">
        <v>206</v>
      </c>
      <c r="B1214" s="6" t="s">
        <v>207</v>
      </c>
      <c r="C1214" s="6" t="s">
        <v>214</v>
      </c>
      <c r="D1214" s="6" t="s">
        <v>34</v>
      </c>
      <c r="E1214" s="6" t="s">
        <v>37</v>
      </c>
      <c r="F1214" s="6" t="s">
        <v>41</v>
      </c>
      <c r="G1214" s="6" t="s">
        <v>215</v>
      </c>
      <c r="H1214" s="6" t="s">
        <v>216</v>
      </c>
      <c r="I1214" s="6" t="s">
        <v>213</v>
      </c>
      <c r="J1214" s="6">
        <v>17.104458000000001</v>
      </c>
      <c r="K1214" s="6" t="s">
        <v>248</v>
      </c>
      <c r="L1214" s="6" t="str">
        <f>HYPERLINK("https://maps.google.com/?q=17.104458, -96.778382", "🔗 Ver Mapa")</f>
        <v>🔗 Ver Mapa</v>
      </c>
    </row>
    <row r="1215" spans="1:12" ht="43.5" x14ac:dyDescent="0.35">
      <c r="A1215" s="5" t="s">
        <v>206</v>
      </c>
      <c r="B1215" s="5" t="s">
        <v>207</v>
      </c>
      <c r="C1215" s="5" t="s">
        <v>214</v>
      </c>
      <c r="D1215" s="5" t="s">
        <v>34</v>
      </c>
      <c r="E1215" s="5" t="s">
        <v>37</v>
      </c>
      <c r="F1215" s="5" t="s">
        <v>41</v>
      </c>
      <c r="G1215" s="5" t="s">
        <v>215</v>
      </c>
      <c r="H1215" s="5" t="s">
        <v>216</v>
      </c>
      <c r="I1215" s="5" t="s">
        <v>213</v>
      </c>
      <c r="J1215" s="5">
        <v>17.104507999999999</v>
      </c>
      <c r="K1215" s="5" t="s">
        <v>249</v>
      </c>
      <c r="L1215" s="5" t="str">
        <f>HYPERLINK("https://maps.google.com/?q=17.104508, -96.778550", "🔗 Ver Mapa")</f>
        <v>🔗 Ver Mapa</v>
      </c>
    </row>
    <row r="1216" spans="1:12" ht="43.5" x14ac:dyDescent="0.35">
      <c r="A1216" s="6" t="s">
        <v>206</v>
      </c>
      <c r="B1216" s="6" t="s">
        <v>207</v>
      </c>
      <c r="C1216" s="6" t="s">
        <v>250</v>
      </c>
      <c r="D1216" s="6" t="s">
        <v>251</v>
      </c>
      <c r="E1216" s="6" t="s">
        <v>37</v>
      </c>
      <c r="F1216" s="6" t="s">
        <v>41</v>
      </c>
      <c r="G1216" s="6" t="s">
        <v>215</v>
      </c>
      <c r="H1216" s="6" t="s">
        <v>216</v>
      </c>
      <c r="I1216" s="6" t="s">
        <v>213</v>
      </c>
      <c r="J1216" s="6">
        <v>17.099529972999999</v>
      </c>
      <c r="K1216" s="6">
        <v>-96.771059409000003</v>
      </c>
      <c r="L1216" s="6" t="str">
        <f>HYPERLINK("https://maps.google.com/?q=17.099529973,-96.771059409", "🔗 Ver Mapa")</f>
        <v>🔗 Ver Mapa</v>
      </c>
    </row>
    <row r="1217" spans="1:12" ht="43.5" x14ac:dyDescent="0.35">
      <c r="A1217" s="5" t="s">
        <v>206</v>
      </c>
      <c r="B1217" s="5" t="s">
        <v>207</v>
      </c>
      <c r="C1217" s="5" t="s">
        <v>250</v>
      </c>
      <c r="D1217" s="5" t="s">
        <v>251</v>
      </c>
      <c r="E1217" s="5" t="s">
        <v>37</v>
      </c>
      <c r="F1217" s="5" t="s">
        <v>41</v>
      </c>
      <c r="G1217" s="5" t="s">
        <v>215</v>
      </c>
      <c r="H1217" s="5" t="s">
        <v>216</v>
      </c>
      <c r="I1217" s="5" t="s">
        <v>213</v>
      </c>
      <c r="J1217" s="5">
        <v>17.099711540000001</v>
      </c>
      <c r="K1217" s="5">
        <v>-96.771082978999999</v>
      </c>
      <c r="L1217" s="5" t="str">
        <f>HYPERLINK("https://maps.google.com/?q=17.09971154,-96.771082979", "🔗 Ver Mapa")</f>
        <v>🔗 Ver Mapa</v>
      </c>
    </row>
    <row r="1218" spans="1:12" ht="43.5" x14ac:dyDescent="0.35">
      <c r="A1218" s="6" t="s">
        <v>206</v>
      </c>
      <c r="B1218" s="6" t="s">
        <v>207</v>
      </c>
      <c r="C1218" s="6" t="s">
        <v>250</v>
      </c>
      <c r="D1218" s="6" t="s">
        <v>251</v>
      </c>
      <c r="E1218" s="6" t="s">
        <v>37</v>
      </c>
      <c r="F1218" s="6" t="s">
        <v>41</v>
      </c>
      <c r="G1218" s="6" t="s">
        <v>215</v>
      </c>
      <c r="H1218" s="6" t="s">
        <v>216</v>
      </c>
      <c r="I1218" s="6" t="s">
        <v>213</v>
      </c>
      <c r="J1218" s="6">
        <v>17.099734654999999</v>
      </c>
      <c r="K1218" s="6">
        <v>-96.771032642999998</v>
      </c>
      <c r="L1218" s="6" t="str">
        <f>HYPERLINK("https://maps.google.com/?q=17.099734655,-96.771032643", "🔗 Ver Mapa")</f>
        <v>🔗 Ver Mapa</v>
      </c>
    </row>
    <row r="1219" spans="1:12" ht="43.5" x14ac:dyDescent="0.35">
      <c r="A1219" s="5" t="s">
        <v>206</v>
      </c>
      <c r="B1219" s="5" t="s">
        <v>207</v>
      </c>
      <c r="C1219" s="5" t="s">
        <v>250</v>
      </c>
      <c r="D1219" s="5" t="s">
        <v>251</v>
      </c>
      <c r="E1219" s="5" t="s">
        <v>37</v>
      </c>
      <c r="F1219" s="5" t="s">
        <v>41</v>
      </c>
      <c r="G1219" s="5" t="s">
        <v>215</v>
      </c>
      <c r="H1219" s="5" t="s">
        <v>216</v>
      </c>
      <c r="I1219" s="5" t="s">
        <v>213</v>
      </c>
      <c r="J1219" s="5">
        <v>17.099912270000001</v>
      </c>
      <c r="K1219" s="5">
        <v>-96.771197463999997</v>
      </c>
      <c r="L1219" s="5" t="str">
        <f>HYPERLINK("https://maps.google.com/?q=17.09991227,-96.771197464", "🔗 Ver Mapa")</f>
        <v>🔗 Ver Mapa</v>
      </c>
    </row>
    <row r="1220" spans="1:12" ht="43.5" x14ac:dyDescent="0.35">
      <c r="A1220" s="6" t="s">
        <v>206</v>
      </c>
      <c r="B1220" s="6" t="s">
        <v>207</v>
      </c>
      <c r="C1220" s="6" t="s">
        <v>250</v>
      </c>
      <c r="D1220" s="6" t="s">
        <v>251</v>
      </c>
      <c r="E1220" s="6" t="s">
        <v>37</v>
      </c>
      <c r="F1220" s="6" t="s">
        <v>41</v>
      </c>
      <c r="G1220" s="6" t="s">
        <v>215</v>
      </c>
      <c r="H1220" s="6" t="s">
        <v>216</v>
      </c>
      <c r="I1220" s="6" t="s">
        <v>213</v>
      </c>
      <c r="J1220" s="6">
        <v>17.100249400999999</v>
      </c>
      <c r="K1220" s="6">
        <v>-96.771421812</v>
      </c>
      <c r="L1220" s="6" t="str">
        <f>HYPERLINK("https://maps.google.com/?q=17.100249401,-96.771421812", "🔗 Ver Mapa")</f>
        <v>🔗 Ver Mapa</v>
      </c>
    </row>
    <row r="1221" spans="1:12" ht="43.5" x14ac:dyDescent="0.35">
      <c r="A1221" s="5" t="s">
        <v>206</v>
      </c>
      <c r="B1221" s="5" t="s">
        <v>207</v>
      </c>
      <c r="C1221" s="5" t="s">
        <v>250</v>
      </c>
      <c r="D1221" s="5" t="s">
        <v>251</v>
      </c>
      <c r="E1221" s="5" t="s">
        <v>37</v>
      </c>
      <c r="F1221" s="5" t="s">
        <v>41</v>
      </c>
      <c r="G1221" s="5" t="s">
        <v>215</v>
      </c>
      <c r="H1221" s="5" t="s">
        <v>216</v>
      </c>
      <c r="I1221" s="5" t="s">
        <v>213</v>
      </c>
      <c r="J1221" s="5">
        <v>17.100534728</v>
      </c>
      <c r="K1221" s="5">
        <v>-96.771628049</v>
      </c>
      <c r="L1221" s="5" t="str">
        <f>HYPERLINK("https://maps.google.com/?q=17.100534728,-96.771628049", "🔗 Ver Mapa")</f>
        <v>🔗 Ver Mapa</v>
      </c>
    </row>
    <row r="1222" spans="1:12" ht="43.5" x14ac:dyDescent="0.35">
      <c r="A1222" s="6" t="s">
        <v>206</v>
      </c>
      <c r="B1222" s="6" t="s">
        <v>207</v>
      </c>
      <c r="C1222" s="6" t="s">
        <v>250</v>
      </c>
      <c r="D1222" s="6" t="s">
        <v>251</v>
      </c>
      <c r="E1222" s="6" t="s">
        <v>37</v>
      </c>
      <c r="F1222" s="6" t="s">
        <v>41</v>
      </c>
      <c r="G1222" s="6" t="s">
        <v>215</v>
      </c>
      <c r="H1222" s="6" t="s">
        <v>216</v>
      </c>
      <c r="I1222" s="6" t="s">
        <v>213</v>
      </c>
      <c r="J1222" s="6">
        <v>17.100906864999999</v>
      </c>
      <c r="K1222" s="6">
        <v>-96.771909983</v>
      </c>
      <c r="L1222" s="6" t="str">
        <f>HYPERLINK("https://maps.google.com/?q=17.100906865,-96.771909983", "🔗 Ver Mapa")</f>
        <v>🔗 Ver Mapa</v>
      </c>
    </row>
    <row r="1223" spans="1:12" ht="43.5" x14ac:dyDescent="0.35">
      <c r="A1223" s="5" t="s">
        <v>206</v>
      </c>
      <c r="B1223" s="5" t="s">
        <v>207</v>
      </c>
      <c r="C1223" s="5" t="s">
        <v>250</v>
      </c>
      <c r="D1223" s="5" t="s">
        <v>251</v>
      </c>
      <c r="E1223" s="5" t="s">
        <v>37</v>
      </c>
      <c r="F1223" s="5" t="s">
        <v>41</v>
      </c>
      <c r="G1223" s="5" t="s">
        <v>215</v>
      </c>
      <c r="H1223" s="5" t="s">
        <v>216</v>
      </c>
      <c r="I1223" s="5" t="s">
        <v>213</v>
      </c>
      <c r="J1223" s="5">
        <v>17.101341730000001</v>
      </c>
      <c r="K1223" s="5">
        <v>-96.772362197999996</v>
      </c>
      <c r="L1223" s="5" t="str">
        <f>HYPERLINK("https://maps.google.com/?q=17.10134173,-96.772362198", "🔗 Ver Mapa")</f>
        <v>🔗 Ver Mapa</v>
      </c>
    </row>
    <row r="1224" spans="1:12" ht="43.5" x14ac:dyDescent="0.35">
      <c r="A1224" s="6" t="s">
        <v>206</v>
      </c>
      <c r="B1224" s="6" t="s">
        <v>207</v>
      </c>
      <c r="C1224" s="6" t="s">
        <v>250</v>
      </c>
      <c r="D1224" s="6" t="s">
        <v>251</v>
      </c>
      <c r="E1224" s="6" t="s">
        <v>37</v>
      </c>
      <c r="F1224" s="6" t="s">
        <v>41</v>
      </c>
      <c r="G1224" s="6" t="s">
        <v>215</v>
      </c>
      <c r="H1224" s="6" t="s">
        <v>216</v>
      </c>
      <c r="I1224" s="6" t="s">
        <v>213</v>
      </c>
      <c r="J1224" s="6">
        <v>17.101394723999999</v>
      </c>
      <c r="K1224" s="6">
        <v>-96.772314700999999</v>
      </c>
      <c r="L1224" s="6" t="str">
        <f>HYPERLINK("https://maps.google.com/?q=17.101394724,-96.772314701", "🔗 Ver Mapa")</f>
        <v>🔗 Ver Mapa</v>
      </c>
    </row>
    <row r="1225" spans="1:12" ht="43.5" x14ac:dyDescent="0.35">
      <c r="A1225" s="5" t="s">
        <v>206</v>
      </c>
      <c r="B1225" s="5" t="s">
        <v>207</v>
      </c>
      <c r="C1225" s="5" t="s">
        <v>250</v>
      </c>
      <c r="D1225" s="5" t="s">
        <v>251</v>
      </c>
      <c r="E1225" s="5" t="s">
        <v>37</v>
      </c>
      <c r="F1225" s="5" t="s">
        <v>41</v>
      </c>
      <c r="G1225" s="5" t="s">
        <v>215</v>
      </c>
      <c r="H1225" s="5" t="s">
        <v>216</v>
      </c>
      <c r="I1225" s="5" t="s">
        <v>213</v>
      </c>
      <c r="J1225" s="5">
        <v>17.101757677999998</v>
      </c>
      <c r="K1225" s="5">
        <v>-96.772678851999999</v>
      </c>
      <c r="L1225" s="5" t="str">
        <f>HYPERLINK("https://maps.google.com/?q=17.101757678,-96.772678852", "🔗 Ver Mapa")</f>
        <v>🔗 Ver Mapa</v>
      </c>
    </row>
    <row r="1226" spans="1:12" ht="43.5" x14ac:dyDescent="0.35">
      <c r="A1226" s="6" t="s">
        <v>206</v>
      </c>
      <c r="B1226" s="6" t="s">
        <v>207</v>
      </c>
      <c r="C1226" s="6" t="s">
        <v>250</v>
      </c>
      <c r="D1226" s="6" t="s">
        <v>251</v>
      </c>
      <c r="E1226" s="6" t="s">
        <v>37</v>
      </c>
      <c r="F1226" s="6" t="s">
        <v>41</v>
      </c>
      <c r="G1226" s="6" t="s">
        <v>215</v>
      </c>
      <c r="H1226" s="6" t="s">
        <v>216</v>
      </c>
      <c r="I1226" s="6" t="s">
        <v>213</v>
      </c>
      <c r="J1226" s="6">
        <v>17.102007808</v>
      </c>
      <c r="K1226" s="6">
        <v>-96.772936233999999</v>
      </c>
      <c r="L1226" s="6" t="str">
        <f>HYPERLINK("https://maps.google.com/?q=17.102007808,-96.772936234", "🔗 Ver Mapa")</f>
        <v>🔗 Ver Mapa</v>
      </c>
    </row>
    <row r="1227" spans="1:12" ht="43.5" x14ac:dyDescent="0.35">
      <c r="A1227" s="5" t="s">
        <v>206</v>
      </c>
      <c r="B1227" s="5" t="s">
        <v>207</v>
      </c>
      <c r="C1227" s="5" t="s">
        <v>250</v>
      </c>
      <c r="D1227" s="5" t="s">
        <v>251</v>
      </c>
      <c r="E1227" s="5" t="s">
        <v>37</v>
      </c>
      <c r="F1227" s="5" t="s">
        <v>41</v>
      </c>
      <c r="G1227" s="5" t="s">
        <v>215</v>
      </c>
      <c r="H1227" s="5" t="s">
        <v>216</v>
      </c>
      <c r="I1227" s="5" t="s">
        <v>213</v>
      </c>
      <c r="J1227" s="5">
        <v>17.102481998999998</v>
      </c>
      <c r="K1227" s="5">
        <v>-96.773601999999997</v>
      </c>
      <c r="L1227" s="5" t="str">
        <f>HYPERLINK("https://maps.google.com/?q=17.102481999,-96.773602", "🔗 Ver Mapa")</f>
        <v>🔗 Ver Mapa</v>
      </c>
    </row>
    <row r="1228" spans="1:12" ht="43.5" x14ac:dyDescent="0.35">
      <c r="A1228" s="6" t="s">
        <v>206</v>
      </c>
      <c r="B1228" s="6" t="s">
        <v>207</v>
      </c>
      <c r="C1228" s="6" t="s">
        <v>250</v>
      </c>
      <c r="D1228" s="6" t="s">
        <v>251</v>
      </c>
      <c r="E1228" s="6" t="s">
        <v>37</v>
      </c>
      <c r="F1228" s="6" t="s">
        <v>41</v>
      </c>
      <c r="G1228" s="6" t="s">
        <v>215</v>
      </c>
      <c r="H1228" s="6" t="s">
        <v>216</v>
      </c>
      <c r="I1228" s="6" t="s">
        <v>213</v>
      </c>
      <c r="J1228" s="6">
        <v>17.102582105</v>
      </c>
      <c r="K1228" s="6">
        <v>-96.773525747999997</v>
      </c>
      <c r="L1228" s="6" t="str">
        <f>HYPERLINK("https://maps.google.com/?q=17.102582105,-96.773525748", "🔗 Ver Mapa")</f>
        <v>🔗 Ver Mapa</v>
      </c>
    </row>
    <row r="1229" spans="1:12" ht="43.5" x14ac:dyDescent="0.35">
      <c r="A1229" s="5" t="s">
        <v>206</v>
      </c>
      <c r="B1229" s="5" t="s">
        <v>207</v>
      </c>
      <c r="C1229" s="5" t="s">
        <v>250</v>
      </c>
      <c r="D1229" s="5" t="s">
        <v>251</v>
      </c>
      <c r="E1229" s="5" t="s">
        <v>37</v>
      </c>
      <c r="F1229" s="5" t="s">
        <v>41</v>
      </c>
      <c r="G1229" s="5" t="s">
        <v>215</v>
      </c>
      <c r="H1229" s="5" t="s">
        <v>216</v>
      </c>
      <c r="I1229" s="5" t="s">
        <v>213</v>
      </c>
      <c r="J1229" s="5">
        <v>17.102688172000001</v>
      </c>
      <c r="K1229" s="5">
        <v>-96.773526343</v>
      </c>
      <c r="L1229" s="5" t="str">
        <f>HYPERLINK("https://maps.google.com/?q=17.102688172,-96.773526343", "🔗 Ver Mapa")</f>
        <v>🔗 Ver Mapa</v>
      </c>
    </row>
    <row r="1230" spans="1:12" ht="43.5" x14ac:dyDescent="0.35">
      <c r="A1230" s="6" t="s">
        <v>206</v>
      </c>
      <c r="B1230" s="6" t="s">
        <v>207</v>
      </c>
      <c r="C1230" s="6" t="s">
        <v>250</v>
      </c>
      <c r="D1230" s="6" t="s">
        <v>251</v>
      </c>
      <c r="E1230" s="6" t="s">
        <v>37</v>
      </c>
      <c r="F1230" s="6" t="s">
        <v>41</v>
      </c>
      <c r="G1230" s="6" t="s">
        <v>215</v>
      </c>
      <c r="H1230" s="6" t="s">
        <v>216</v>
      </c>
      <c r="I1230" s="6" t="s">
        <v>213</v>
      </c>
      <c r="J1230" s="6">
        <v>17.103199453999999</v>
      </c>
      <c r="K1230" s="6">
        <v>-96.774208014999999</v>
      </c>
      <c r="L1230" s="6" t="str">
        <f>HYPERLINK("https://maps.google.com/?q=17.103199454,-96.774208015", "🔗 Ver Mapa")</f>
        <v>🔗 Ver Mapa</v>
      </c>
    </row>
    <row r="1231" spans="1:12" ht="43.5" x14ac:dyDescent="0.35">
      <c r="A1231" s="5" t="s">
        <v>206</v>
      </c>
      <c r="B1231" s="5" t="s">
        <v>207</v>
      </c>
      <c r="C1231" s="5" t="s">
        <v>250</v>
      </c>
      <c r="D1231" s="5" t="s">
        <v>251</v>
      </c>
      <c r="E1231" s="5" t="s">
        <v>37</v>
      </c>
      <c r="F1231" s="5" t="s">
        <v>41</v>
      </c>
      <c r="G1231" s="5" t="s">
        <v>215</v>
      </c>
      <c r="H1231" s="5" t="s">
        <v>216</v>
      </c>
      <c r="I1231" s="5" t="s">
        <v>213</v>
      </c>
      <c r="J1231" s="5">
        <v>17.10320235</v>
      </c>
      <c r="K1231" s="5">
        <v>-96.774127245000003</v>
      </c>
      <c r="L1231" s="5" t="str">
        <f>HYPERLINK("https://maps.google.com/?q=17.10320235,-96.774127245", "🔗 Ver Mapa")</f>
        <v>🔗 Ver Mapa</v>
      </c>
    </row>
    <row r="1232" spans="1:12" ht="43.5" x14ac:dyDescent="0.35">
      <c r="A1232" s="6" t="s">
        <v>206</v>
      </c>
      <c r="B1232" s="6" t="s">
        <v>207</v>
      </c>
      <c r="C1232" s="6" t="s">
        <v>250</v>
      </c>
      <c r="D1232" s="6" t="s">
        <v>251</v>
      </c>
      <c r="E1232" s="6" t="s">
        <v>37</v>
      </c>
      <c r="F1232" s="6" t="s">
        <v>41</v>
      </c>
      <c r="G1232" s="6" t="s">
        <v>215</v>
      </c>
      <c r="H1232" s="6" t="s">
        <v>216</v>
      </c>
      <c r="I1232" s="6" t="s">
        <v>213</v>
      </c>
      <c r="J1232" s="6">
        <v>17.103411769000001</v>
      </c>
      <c r="K1232" s="6">
        <v>-96.774356107000003</v>
      </c>
      <c r="L1232" s="6" t="str">
        <f>HYPERLINK("https://maps.google.com/?q=17.103411769,-96.774356107", "🔗 Ver Mapa")</f>
        <v>🔗 Ver Mapa</v>
      </c>
    </row>
    <row r="1233" spans="1:12" ht="43.5" x14ac:dyDescent="0.35">
      <c r="A1233" s="5" t="s">
        <v>206</v>
      </c>
      <c r="B1233" s="5" t="s">
        <v>207</v>
      </c>
      <c r="C1233" s="5" t="s">
        <v>250</v>
      </c>
      <c r="D1233" s="5" t="s">
        <v>251</v>
      </c>
      <c r="E1233" s="5" t="s">
        <v>37</v>
      </c>
      <c r="F1233" s="5" t="s">
        <v>41</v>
      </c>
      <c r="G1233" s="5" t="s">
        <v>215</v>
      </c>
      <c r="H1233" s="5" t="s">
        <v>216</v>
      </c>
      <c r="I1233" s="5" t="s">
        <v>213</v>
      </c>
      <c r="J1233" s="5">
        <v>17.103556960999999</v>
      </c>
      <c r="K1233" s="5">
        <v>-96.774593478</v>
      </c>
      <c r="L1233" s="5" t="str">
        <f>HYPERLINK("https://maps.google.com/?q=17.103556961,-96.774593478", "🔗 Ver Mapa")</f>
        <v>🔗 Ver Mapa</v>
      </c>
    </row>
    <row r="1234" spans="1:12" ht="43.5" x14ac:dyDescent="0.35">
      <c r="A1234" s="6" t="s">
        <v>206</v>
      </c>
      <c r="B1234" s="6" t="s">
        <v>207</v>
      </c>
      <c r="C1234" s="6" t="s">
        <v>250</v>
      </c>
      <c r="D1234" s="6" t="s">
        <v>251</v>
      </c>
      <c r="E1234" s="6" t="s">
        <v>37</v>
      </c>
      <c r="F1234" s="6" t="s">
        <v>41</v>
      </c>
      <c r="G1234" s="6" t="s">
        <v>215</v>
      </c>
      <c r="H1234" s="6" t="s">
        <v>216</v>
      </c>
      <c r="I1234" s="6" t="s">
        <v>213</v>
      </c>
      <c r="J1234" s="6">
        <v>17.103649626999999</v>
      </c>
      <c r="K1234" s="6">
        <v>-96.774840577999996</v>
      </c>
      <c r="L1234" s="6" t="str">
        <f>HYPERLINK("https://maps.google.com/?q=17.103649627,-96.774840578", "🔗 Ver Mapa")</f>
        <v>🔗 Ver Mapa</v>
      </c>
    </row>
    <row r="1235" spans="1:12" ht="43.5" x14ac:dyDescent="0.35">
      <c r="A1235" s="5" t="s">
        <v>206</v>
      </c>
      <c r="B1235" s="5" t="s">
        <v>207</v>
      </c>
      <c r="C1235" s="5" t="s">
        <v>250</v>
      </c>
      <c r="D1235" s="5" t="s">
        <v>251</v>
      </c>
      <c r="E1235" s="5" t="s">
        <v>37</v>
      </c>
      <c r="F1235" s="5" t="s">
        <v>41</v>
      </c>
      <c r="G1235" s="5" t="s">
        <v>215</v>
      </c>
      <c r="H1235" s="5" t="s">
        <v>216</v>
      </c>
      <c r="I1235" s="5" t="s">
        <v>213</v>
      </c>
      <c r="J1235" s="5">
        <v>17.103713067000001</v>
      </c>
      <c r="K1235" s="5">
        <v>-96.775090724999998</v>
      </c>
      <c r="L1235" s="5" t="str">
        <f>HYPERLINK("https://maps.google.com/?q=17.103713067,-96.775090725", "🔗 Ver Mapa")</f>
        <v>🔗 Ver Mapa</v>
      </c>
    </row>
    <row r="1236" spans="1:12" ht="43.5" x14ac:dyDescent="0.35">
      <c r="A1236" s="6" t="s">
        <v>206</v>
      </c>
      <c r="B1236" s="6" t="s">
        <v>207</v>
      </c>
      <c r="C1236" s="6" t="s">
        <v>250</v>
      </c>
      <c r="D1236" s="6" t="s">
        <v>251</v>
      </c>
      <c r="E1236" s="6" t="s">
        <v>37</v>
      </c>
      <c r="F1236" s="6" t="s">
        <v>41</v>
      </c>
      <c r="G1236" s="6" t="s">
        <v>215</v>
      </c>
      <c r="H1236" s="6" t="s">
        <v>216</v>
      </c>
      <c r="I1236" s="6" t="s">
        <v>213</v>
      </c>
      <c r="J1236" s="6">
        <v>17.103851840000001</v>
      </c>
      <c r="K1236" s="6">
        <v>-96.775958021999998</v>
      </c>
      <c r="L1236" s="6" t="str">
        <f>HYPERLINK("https://maps.google.com/?q=17.10385184,-96.775958022", "🔗 Ver Mapa")</f>
        <v>🔗 Ver Mapa</v>
      </c>
    </row>
    <row r="1237" spans="1:12" ht="43.5" x14ac:dyDescent="0.35">
      <c r="A1237" s="5" t="s">
        <v>206</v>
      </c>
      <c r="B1237" s="5" t="s">
        <v>207</v>
      </c>
      <c r="C1237" s="5" t="s">
        <v>250</v>
      </c>
      <c r="D1237" s="5" t="s">
        <v>251</v>
      </c>
      <c r="E1237" s="5" t="s">
        <v>37</v>
      </c>
      <c r="F1237" s="5" t="s">
        <v>41</v>
      </c>
      <c r="G1237" s="5" t="s">
        <v>215</v>
      </c>
      <c r="H1237" s="5" t="s">
        <v>216</v>
      </c>
      <c r="I1237" s="5" t="s">
        <v>213</v>
      </c>
      <c r="J1237" s="5">
        <v>17.104103609999999</v>
      </c>
      <c r="K1237" s="5">
        <v>-96.776821626</v>
      </c>
      <c r="L1237" s="5" t="str">
        <f>HYPERLINK("https://maps.google.com/?q=17.10410361,-96.776821626", "🔗 Ver Mapa")</f>
        <v>🔗 Ver Mapa</v>
      </c>
    </row>
    <row r="1238" spans="1:12" ht="43.5" x14ac:dyDescent="0.35">
      <c r="A1238" s="6" t="s">
        <v>206</v>
      </c>
      <c r="B1238" s="6" t="s">
        <v>207</v>
      </c>
      <c r="C1238" s="6" t="s">
        <v>250</v>
      </c>
      <c r="D1238" s="6" t="s">
        <v>251</v>
      </c>
      <c r="E1238" s="6" t="s">
        <v>37</v>
      </c>
      <c r="F1238" s="6" t="s">
        <v>41</v>
      </c>
      <c r="G1238" s="6" t="s">
        <v>215</v>
      </c>
      <c r="H1238" s="6" t="s">
        <v>216</v>
      </c>
      <c r="I1238" s="6" t="s">
        <v>213</v>
      </c>
      <c r="J1238" s="6">
        <v>17.104314861999999</v>
      </c>
      <c r="K1238" s="6">
        <v>-96.777690738999993</v>
      </c>
      <c r="L1238" s="6" t="str">
        <f>HYPERLINK("https://maps.google.com/?q=17.104314862,-96.777690739", "🔗 Ver Mapa")</f>
        <v>🔗 Ver Mapa</v>
      </c>
    </row>
    <row r="1239" spans="1:12" ht="43.5" x14ac:dyDescent="0.35">
      <c r="A1239" s="5" t="s">
        <v>206</v>
      </c>
      <c r="B1239" s="5" t="s">
        <v>207</v>
      </c>
      <c r="C1239" s="5" t="s">
        <v>250</v>
      </c>
      <c r="D1239" s="5" t="s">
        <v>251</v>
      </c>
      <c r="E1239" s="5" t="s">
        <v>37</v>
      </c>
      <c r="F1239" s="5" t="s">
        <v>41</v>
      </c>
      <c r="G1239" s="5" t="s">
        <v>215</v>
      </c>
      <c r="H1239" s="5" t="s">
        <v>216</v>
      </c>
      <c r="I1239" s="5" t="s">
        <v>213</v>
      </c>
      <c r="J1239" s="5">
        <v>17.104536352</v>
      </c>
      <c r="K1239" s="5">
        <v>-96.778537634000003</v>
      </c>
      <c r="L1239" s="5" t="str">
        <f>HYPERLINK("https://maps.google.com/?q=17.104536352,-96.778537634", "🔗 Ver Mapa")</f>
        <v>🔗 Ver Mapa</v>
      </c>
    </row>
    <row r="1240" spans="1:12" ht="43.5" x14ac:dyDescent="0.35">
      <c r="A1240" s="6" t="s">
        <v>206</v>
      </c>
      <c r="B1240" s="6" t="s">
        <v>207</v>
      </c>
      <c r="C1240" s="6" t="s">
        <v>252</v>
      </c>
      <c r="D1240" s="6" t="s">
        <v>34</v>
      </c>
      <c r="E1240" s="6" t="s">
        <v>37</v>
      </c>
      <c r="F1240" s="6" t="s">
        <v>253</v>
      </c>
      <c r="G1240" s="6" t="s">
        <v>254</v>
      </c>
      <c r="H1240" s="6" t="s">
        <v>255</v>
      </c>
      <c r="I1240" s="6" t="s">
        <v>213</v>
      </c>
      <c r="J1240" s="6">
        <v>16.77869338</v>
      </c>
      <c r="K1240" s="6">
        <v>-96.95354931</v>
      </c>
      <c r="L1240" s="6" t="str">
        <f>HYPERLINK("https://maps.google.com/?q=16.77869338,-96.95354931", "🔗 Ver Mapa")</f>
        <v>🔗 Ver Mapa</v>
      </c>
    </row>
    <row r="1241" spans="1:12" ht="43.5" x14ac:dyDescent="0.35">
      <c r="A1241" s="5" t="s">
        <v>206</v>
      </c>
      <c r="B1241" s="5" t="s">
        <v>207</v>
      </c>
      <c r="C1241" s="5" t="s">
        <v>252</v>
      </c>
      <c r="D1241" s="5" t="s">
        <v>34</v>
      </c>
      <c r="E1241" s="5" t="s">
        <v>37</v>
      </c>
      <c r="F1241" s="5" t="s">
        <v>253</v>
      </c>
      <c r="G1241" s="5" t="s">
        <v>254</v>
      </c>
      <c r="H1241" s="5" t="s">
        <v>255</v>
      </c>
      <c r="I1241" s="5" t="s">
        <v>213</v>
      </c>
      <c r="J1241" s="5">
        <v>16.77893044</v>
      </c>
      <c r="K1241" s="5">
        <v>-96.953459679999995</v>
      </c>
      <c r="L1241" s="5" t="str">
        <f>HYPERLINK("https://maps.google.com/?q=16.77893044,-96.953459679999995", "🔗 Ver Mapa")</f>
        <v>🔗 Ver Mapa</v>
      </c>
    </row>
    <row r="1242" spans="1:12" ht="43.5" x14ac:dyDescent="0.35">
      <c r="A1242" s="6" t="s">
        <v>206</v>
      </c>
      <c r="B1242" s="6" t="s">
        <v>207</v>
      </c>
      <c r="C1242" s="6" t="s">
        <v>252</v>
      </c>
      <c r="D1242" s="6" t="s">
        <v>34</v>
      </c>
      <c r="E1242" s="6" t="s">
        <v>37</v>
      </c>
      <c r="F1242" s="6" t="s">
        <v>253</v>
      </c>
      <c r="G1242" s="6" t="s">
        <v>254</v>
      </c>
      <c r="H1242" s="6" t="s">
        <v>255</v>
      </c>
      <c r="I1242" s="6" t="s">
        <v>213</v>
      </c>
      <c r="J1242" s="6">
        <v>16.779326869999998</v>
      </c>
      <c r="K1242" s="6">
        <v>-96.953272940000005</v>
      </c>
      <c r="L1242" s="6" t="str">
        <f>HYPERLINK("https://maps.google.com/?q=16.77932687,-96.953272940000005", "🔗 Ver Mapa")</f>
        <v>🔗 Ver Mapa</v>
      </c>
    </row>
    <row r="1243" spans="1:12" ht="43.5" x14ac:dyDescent="0.35">
      <c r="A1243" s="5" t="s">
        <v>206</v>
      </c>
      <c r="B1243" s="5" t="s">
        <v>207</v>
      </c>
      <c r="C1243" s="5" t="s">
        <v>252</v>
      </c>
      <c r="D1243" s="5" t="s">
        <v>34</v>
      </c>
      <c r="E1243" s="5" t="s">
        <v>37</v>
      </c>
      <c r="F1243" s="5" t="s">
        <v>253</v>
      </c>
      <c r="G1243" s="5" t="s">
        <v>254</v>
      </c>
      <c r="H1243" s="5" t="s">
        <v>255</v>
      </c>
      <c r="I1243" s="5" t="s">
        <v>213</v>
      </c>
      <c r="J1243" s="5">
        <v>16.779408870000001</v>
      </c>
      <c r="K1243" s="5">
        <v>-96.953050939999997</v>
      </c>
      <c r="L1243" s="5" t="str">
        <f>HYPERLINK("https://maps.google.com/?q=16.77940887,-96.953050939999997", "🔗 Ver Mapa")</f>
        <v>🔗 Ver Mapa</v>
      </c>
    </row>
    <row r="1244" spans="1:12" ht="43.5" x14ac:dyDescent="0.35">
      <c r="A1244" s="6" t="s">
        <v>206</v>
      </c>
      <c r="B1244" s="6" t="s">
        <v>207</v>
      </c>
      <c r="C1244" s="6" t="s">
        <v>252</v>
      </c>
      <c r="D1244" s="6" t="s">
        <v>34</v>
      </c>
      <c r="E1244" s="6" t="s">
        <v>37</v>
      </c>
      <c r="F1244" s="6" t="s">
        <v>253</v>
      </c>
      <c r="G1244" s="6" t="s">
        <v>254</v>
      </c>
      <c r="H1244" s="6" t="s">
        <v>255</v>
      </c>
      <c r="I1244" s="6" t="s">
        <v>213</v>
      </c>
      <c r="J1244" s="6">
        <v>16.779830870000001</v>
      </c>
      <c r="K1244" s="6">
        <v>-96.952539939999994</v>
      </c>
      <c r="L1244" s="6" t="str">
        <f>HYPERLINK("https://maps.google.com/?q=16.77983087,-96.952539939999994", "🔗 Ver Mapa")</f>
        <v>🔗 Ver Mapa</v>
      </c>
    </row>
    <row r="1245" spans="1:12" ht="43.5" x14ac:dyDescent="0.35">
      <c r="A1245" s="5" t="s">
        <v>206</v>
      </c>
      <c r="B1245" s="5" t="s">
        <v>207</v>
      </c>
      <c r="C1245" s="5" t="s">
        <v>252</v>
      </c>
      <c r="D1245" s="5" t="s">
        <v>34</v>
      </c>
      <c r="E1245" s="5" t="s">
        <v>37</v>
      </c>
      <c r="F1245" s="5" t="s">
        <v>253</v>
      </c>
      <c r="G1245" s="5" t="s">
        <v>254</v>
      </c>
      <c r="H1245" s="5" t="s">
        <v>255</v>
      </c>
      <c r="I1245" s="5" t="s">
        <v>213</v>
      </c>
      <c r="J1245" s="5">
        <v>16.779936240000001</v>
      </c>
      <c r="K1245" s="5">
        <v>-96.951512320000006</v>
      </c>
      <c r="L1245" s="5" t="str">
        <f>HYPERLINK("https://maps.google.com/?q=16.77993624,-96.951512320000006", "🔗 Ver Mapa")</f>
        <v>🔗 Ver Mapa</v>
      </c>
    </row>
    <row r="1246" spans="1:12" ht="43.5" x14ac:dyDescent="0.35">
      <c r="A1246" s="6" t="s">
        <v>206</v>
      </c>
      <c r="B1246" s="6" t="s">
        <v>207</v>
      </c>
      <c r="C1246" s="6" t="s">
        <v>252</v>
      </c>
      <c r="D1246" s="6" t="s">
        <v>34</v>
      </c>
      <c r="E1246" s="6" t="s">
        <v>37</v>
      </c>
      <c r="F1246" s="6" t="s">
        <v>253</v>
      </c>
      <c r="G1246" s="6" t="s">
        <v>254</v>
      </c>
      <c r="H1246" s="6" t="s">
        <v>255</v>
      </c>
      <c r="I1246" s="6" t="s">
        <v>213</v>
      </c>
      <c r="J1246" s="6">
        <v>16.779971870000001</v>
      </c>
      <c r="K1246" s="6">
        <v>-96.951830939999994</v>
      </c>
      <c r="L1246" s="6" t="str">
        <f>HYPERLINK("https://maps.google.com/?q=16.77997187,-96.951830939999994", "🔗 Ver Mapa")</f>
        <v>🔗 Ver Mapa</v>
      </c>
    </row>
    <row r="1247" spans="1:12" ht="43.5" x14ac:dyDescent="0.35">
      <c r="A1247" s="5" t="s">
        <v>206</v>
      </c>
      <c r="B1247" s="5" t="s">
        <v>207</v>
      </c>
      <c r="C1247" s="5" t="s">
        <v>252</v>
      </c>
      <c r="D1247" s="5" t="s">
        <v>34</v>
      </c>
      <c r="E1247" s="5" t="s">
        <v>37</v>
      </c>
      <c r="F1247" s="5" t="s">
        <v>253</v>
      </c>
      <c r="G1247" s="5" t="s">
        <v>254</v>
      </c>
      <c r="H1247" s="5" t="s">
        <v>255</v>
      </c>
      <c r="I1247" s="5" t="s">
        <v>213</v>
      </c>
      <c r="J1247" s="5">
        <v>16.780010870000002</v>
      </c>
      <c r="K1247" s="5">
        <v>-96.951339939999997</v>
      </c>
      <c r="L1247" s="5" t="str">
        <f>HYPERLINK("https://maps.google.com/?q=16.78001087,-96.951339939999997", "🔗 Ver Mapa")</f>
        <v>🔗 Ver Mapa</v>
      </c>
    </row>
    <row r="1248" spans="1:12" ht="43.5" x14ac:dyDescent="0.35">
      <c r="A1248" s="6" t="s">
        <v>206</v>
      </c>
      <c r="B1248" s="6" t="s">
        <v>207</v>
      </c>
      <c r="C1248" s="6" t="s">
        <v>252</v>
      </c>
      <c r="D1248" s="6" t="s">
        <v>34</v>
      </c>
      <c r="E1248" s="6" t="s">
        <v>37</v>
      </c>
      <c r="F1248" s="6" t="s">
        <v>253</v>
      </c>
      <c r="G1248" s="6" t="s">
        <v>254</v>
      </c>
      <c r="H1248" s="6" t="s">
        <v>255</v>
      </c>
      <c r="I1248" s="6" t="s">
        <v>213</v>
      </c>
      <c r="J1248" s="6">
        <v>16.780151279999998</v>
      </c>
      <c r="K1248" s="6">
        <v>-96.951110959999994</v>
      </c>
      <c r="L1248" s="6" t="str">
        <f>HYPERLINK("https://maps.google.com/?q=16.78015128,-96.951110959999994", "🔗 Ver Mapa")</f>
        <v>🔗 Ver Mapa</v>
      </c>
    </row>
    <row r="1249" spans="1:12" ht="43.5" x14ac:dyDescent="0.35">
      <c r="A1249" s="5" t="s">
        <v>206</v>
      </c>
      <c r="B1249" s="5" t="s">
        <v>207</v>
      </c>
      <c r="C1249" s="5" t="s">
        <v>252</v>
      </c>
      <c r="D1249" s="5" t="s">
        <v>34</v>
      </c>
      <c r="E1249" s="5" t="s">
        <v>37</v>
      </c>
      <c r="F1249" s="5" t="s">
        <v>253</v>
      </c>
      <c r="G1249" s="5" t="s">
        <v>254</v>
      </c>
      <c r="H1249" s="5" t="s">
        <v>255</v>
      </c>
      <c r="I1249" s="5" t="s">
        <v>213</v>
      </c>
      <c r="J1249" s="5">
        <v>16.78032687</v>
      </c>
      <c r="K1249" s="5">
        <v>-96.950846940000005</v>
      </c>
      <c r="L1249" s="5" t="str">
        <f>HYPERLINK("https://maps.google.com/?q=16.78032687,-96.950846940000005", "🔗 Ver Mapa")</f>
        <v>🔗 Ver Mapa</v>
      </c>
    </row>
    <row r="1250" spans="1:12" ht="43.5" x14ac:dyDescent="0.35">
      <c r="A1250" s="6" t="s">
        <v>206</v>
      </c>
      <c r="B1250" s="6" t="s">
        <v>207</v>
      </c>
      <c r="C1250" s="6" t="s">
        <v>252</v>
      </c>
      <c r="D1250" s="6" t="s">
        <v>34</v>
      </c>
      <c r="E1250" s="6" t="s">
        <v>37</v>
      </c>
      <c r="F1250" s="6" t="s">
        <v>253</v>
      </c>
      <c r="G1250" s="6" t="s">
        <v>254</v>
      </c>
      <c r="H1250" s="6" t="s">
        <v>255</v>
      </c>
      <c r="I1250" s="6" t="s">
        <v>213</v>
      </c>
      <c r="J1250" s="6">
        <v>16.780491770000001</v>
      </c>
      <c r="K1250" s="6">
        <v>-96.950603029999996</v>
      </c>
      <c r="L1250" s="6" t="str">
        <f>HYPERLINK("https://maps.google.com/?q=16.78049177,-96.950603029999996", "🔗 Ver Mapa")</f>
        <v>🔗 Ver Mapa</v>
      </c>
    </row>
    <row r="1251" spans="1:12" ht="43.5" x14ac:dyDescent="0.35">
      <c r="A1251" s="5" t="s">
        <v>206</v>
      </c>
      <c r="B1251" s="5" t="s">
        <v>207</v>
      </c>
      <c r="C1251" s="5" t="s">
        <v>252</v>
      </c>
      <c r="D1251" s="5" t="s">
        <v>34</v>
      </c>
      <c r="E1251" s="5" t="s">
        <v>37</v>
      </c>
      <c r="F1251" s="5" t="s">
        <v>253</v>
      </c>
      <c r="G1251" s="5" t="s">
        <v>254</v>
      </c>
      <c r="H1251" s="5" t="s">
        <v>255</v>
      </c>
      <c r="I1251" s="5" t="s">
        <v>213</v>
      </c>
      <c r="J1251" s="5">
        <v>16.780594870000002</v>
      </c>
      <c r="K1251" s="5">
        <v>-96.945603939999998</v>
      </c>
      <c r="L1251" s="5" t="str">
        <f>HYPERLINK("https://maps.google.com/?q=16.78059487,-96.945603939999998", "🔗 Ver Mapa")</f>
        <v>🔗 Ver Mapa</v>
      </c>
    </row>
    <row r="1252" spans="1:12" ht="43.5" x14ac:dyDescent="0.35">
      <c r="A1252" s="6" t="s">
        <v>206</v>
      </c>
      <c r="B1252" s="6" t="s">
        <v>207</v>
      </c>
      <c r="C1252" s="6" t="s">
        <v>252</v>
      </c>
      <c r="D1252" s="6" t="s">
        <v>34</v>
      </c>
      <c r="E1252" s="6" t="s">
        <v>37</v>
      </c>
      <c r="F1252" s="6" t="s">
        <v>253</v>
      </c>
      <c r="G1252" s="6" t="s">
        <v>254</v>
      </c>
      <c r="H1252" s="6" t="s">
        <v>255</v>
      </c>
      <c r="I1252" s="6" t="s">
        <v>213</v>
      </c>
      <c r="J1252" s="6">
        <v>16.78065544</v>
      </c>
      <c r="K1252" s="6">
        <v>-96.950443989999997</v>
      </c>
      <c r="L1252" s="6" t="str">
        <f>HYPERLINK("https://maps.google.com/?q=16.78065544,-96.950443989999997", "🔗 Ver Mapa")</f>
        <v>🔗 Ver Mapa</v>
      </c>
    </row>
    <row r="1253" spans="1:12" ht="43.5" x14ac:dyDescent="0.35">
      <c r="A1253" s="5" t="s">
        <v>206</v>
      </c>
      <c r="B1253" s="5" t="s">
        <v>207</v>
      </c>
      <c r="C1253" s="5" t="s">
        <v>252</v>
      </c>
      <c r="D1253" s="5" t="s">
        <v>34</v>
      </c>
      <c r="E1253" s="5" t="s">
        <v>37</v>
      </c>
      <c r="F1253" s="5" t="s">
        <v>253</v>
      </c>
      <c r="G1253" s="5" t="s">
        <v>254</v>
      </c>
      <c r="H1253" s="5" t="s">
        <v>255</v>
      </c>
      <c r="I1253" s="5" t="s">
        <v>213</v>
      </c>
      <c r="J1253" s="5">
        <v>16.780744869999999</v>
      </c>
      <c r="K1253" s="5">
        <v>-96.945425940000007</v>
      </c>
      <c r="L1253" s="5" t="str">
        <f>HYPERLINK("https://maps.google.com/?q=16.78074487,-96.945425940000007", "🔗 Ver Mapa")</f>
        <v>🔗 Ver Mapa</v>
      </c>
    </row>
    <row r="1254" spans="1:12" ht="43.5" x14ac:dyDescent="0.35">
      <c r="A1254" s="6" t="s">
        <v>206</v>
      </c>
      <c r="B1254" s="6" t="s">
        <v>207</v>
      </c>
      <c r="C1254" s="6" t="s">
        <v>252</v>
      </c>
      <c r="D1254" s="6" t="s">
        <v>34</v>
      </c>
      <c r="E1254" s="6" t="s">
        <v>37</v>
      </c>
      <c r="F1254" s="6" t="s">
        <v>253</v>
      </c>
      <c r="G1254" s="6" t="s">
        <v>254</v>
      </c>
      <c r="H1254" s="6" t="s">
        <v>255</v>
      </c>
      <c r="I1254" s="6" t="s">
        <v>213</v>
      </c>
      <c r="J1254" s="6">
        <v>16.780858869999999</v>
      </c>
      <c r="K1254" s="6">
        <v>-96.945682939999998</v>
      </c>
      <c r="L1254" s="6" t="str">
        <f>HYPERLINK("https://maps.google.com/?q=16.78085887,-96.945682939999998", "🔗 Ver Mapa")</f>
        <v>🔗 Ver Mapa</v>
      </c>
    </row>
    <row r="1255" spans="1:12" ht="43.5" x14ac:dyDescent="0.35">
      <c r="A1255" s="5" t="s">
        <v>206</v>
      </c>
      <c r="B1255" s="5" t="s">
        <v>207</v>
      </c>
      <c r="C1255" s="5" t="s">
        <v>252</v>
      </c>
      <c r="D1255" s="5" t="s">
        <v>34</v>
      </c>
      <c r="E1255" s="5" t="s">
        <v>37</v>
      </c>
      <c r="F1255" s="5" t="s">
        <v>253</v>
      </c>
      <c r="G1255" s="5" t="s">
        <v>254</v>
      </c>
      <c r="H1255" s="5" t="s">
        <v>255</v>
      </c>
      <c r="I1255" s="5" t="s">
        <v>213</v>
      </c>
      <c r="J1255" s="5">
        <v>16.78086665</v>
      </c>
      <c r="K1255" s="5">
        <v>-96.950218070000005</v>
      </c>
      <c r="L1255" s="5" t="str">
        <f>HYPERLINK("https://maps.google.com/?q=16.78086665,-96.950218070000005", "🔗 Ver Mapa")</f>
        <v>🔗 Ver Mapa</v>
      </c>
    </row>
    <row r="1256" spans="1:12" ht="43.5" x14ac:dyDescent="0.35">
      <c r="A1256" s="6" t="s">
        <v>206</v>
      </c>
      <c r="B1256" s="6" t="s">
        <v>207</v>
      </c>
      <c r="C1256" s="6" t="s">
        <v>252</v>
      </c>
      <c r="D1256" s="6" t="s">
        <v>34</v>
      </c>
      <c r="E1256" s="6" t="s">
        <v>37</v>
      </c>
      <c r="F1256" s="6" t="s">
        <v>253</v>
      </c>
      <c r="G1256" s="6" t="s">
        <v>254</v>
      </c>
      <c r="H1256" s="6" t="s">
        <v>255</v>
      </c>
      <c r="I1256" s="6" t="s">
        <v>213</v>
      </c>
      <c r="J1256" s="6">
        <v>16.781051600000001</v>
      </c>
      <c r="K1256" s="6">
        <v>-96.949926590000004</v>
      </c>
      <c r="L1256" s="6" t="str">
        <f>HYPERLINK("https://maps.google.com/?q=16.7810516,-96.949926590000004", "🔗 Ver Mapa")</f>
        <v>🔗 Ver Mapa</v>
      </c>
    </row>
    <row r="1257" spans="1:12" ht="43.5" x14ac:dyDescent="0.35">
      <c r="A1257" s="5" t="s">
        <v>206</v>
      </c>
      <c r="B1257" s="5" t="s">
        <v>207</v>
      </c>
      <c r="C1257" s="5" t="s">
        <v>252</v>
      </c>
      <c r="D1257" s="5" t="s">
        <v>34</v>
      </c>
      <c r="E1257" s="5" t="s">
        <v>37</v>
      </c>
      <c r="F1257" s="5" t="s">
        <v>253</v>
      </c>
      <c r="G1257" s="5" t="s">
        <v>254</v>
      </c>
      <c r="H1257" s="5" t="s">
        <v>255</v>
      </c>
      <c r="I1257" s="5" t="s">
        <v>213</v>
      </c>
      <c r="J1257" s="5">
        <v>16.781065869999999</v>
      </c>
      <c r="K1257" s="5">
        <v>-96.949286939999993</v>
      </c>
      <c r="L1257" s="5" t="str">
        <f>HYPERLINK("https://maps.google.com/?q=16.78106587,-96.949286939999993", "🔗 Ver Mapa")</f>
        <v>🔗 Ver Mapa</v>
      </c>
    </row>
    <row r="1258" spans="1:12" ht="43.5" x14ac:dyDescent="0.35">
      <c r="A1258" s="6" t="s">
        <v>206</v>
      </c>
      <c r="B1258" s="6" t="s">
        <v>207</v>
      </c>
      <c r="C1258" s="6" t="s">
        <v>252</v>
      </c>
      <c r="D1258" s="6" t="s">
        <v>34</v>
      </c>
      <c r="E1258" s="6" t="s">
        <v>37</v>
      </c>
      <c r="F1258" s="6" t="s">
        <v>253</v>
      </c>
      <c r="G1258" s="6" t="s">
        <v>254</v>
      </c>
      <c r="H1258" s="6" t="s">
        <v>255</v>
      </c>
      <c r="I1258" s="6" t="s">
        <v>213</v>
      </c>
      <c r="J1258" s="6">
        <v>16.781084870000001</v>
      </c>
      <c r="K1258" s="6">
        <v>-96.949113940000004</v>
      </c>
      <c r="L1258" s="6" t="str">
        <f>HYPERLINK("https://maps.google.com/?q=16.78108487,-96.949113940000004", "🔗 Ver Mapa")</f>
        <v>🔗 Ver Mapa</v>
      </c>
    </row>
    <row r="1259" spans="1:12" ht="43.5" x14ac:dyDescent="0.35">
      <c r="A1259" s="5" t="s">
        <v>206</v>
      </c>
      <c r="B1259" s="5" t="s">
        <v>207</v>
      </c>
      <c r="C1259" s="5" t="s">
        <v>252</v>
      </c>
      <c r="D1259" s="5" t="s">
        <v>34</v>
      </c>
      <c r="E1259" s="5" t="s">
        <v>37</v>
      </c>
      <c r="F1259" s="5" t="s">
        <v>253</v>
      </c>
      <c r="G1259" s="5" t="s">
        <v>254</v>
      </c>
      <c r="H1259" s="5" t="s">
        <v>255</v>
      </c>
      <c r="I1259" s="5" t="s">
        <v>213</v>
      </c>
      <c r="J1259" s="5">
        <v>16.78111487</v>
      </c>
      <c r="K1259" s="5">
        <v>-96.94966694</v>
      </c>
      <c r="L1259" s="5" t="str">
        <f>HYPERLINK("https://maps.google.com/?q=16.78111487,-96.94966694", "🔗 Ver Mapa")</f>
        <v>🔗 Ver Mapa</v>
      </c>
    </row>
    <row r="1260" spans="1:12" ht="43.5" x14ac:dyDescent="0.35">
      <c r="A1260" s="6" t="s">
        <v>206</v>
      </c>
      <c r="B1260" s="6" t="s">
        <v>207</v>
      </c>
      <c r="C1260" s="6" t="s">
        <v>252</v>
      </c>
      <c r="D1260" s="6" t="s">
        <v>34</v>
      </c>
      <c r="E1260" s="6" t="s">
        <v>37</v>
      </c>
      <c r="F1260" s="6" t="s">
        <v>253</v>
      </c>
      <c r="G1260" s="6" t="s">
        <v>254</v>
      </c>
      <c r="H1260" s="6" t="s">
        <v>255</v>
      </c>
      <c r="I1260" s="6" t="s">
        <v>213</v>
      </c>
      <c r="J1260" s="6">
        <v>16.781126870000001</v>
      </c>
      <c r="K1260" s="6">
        <v>-96.945791940000007</v>
      </c>
      <c r="L1260" s="6" t="str">
        <f>HYPERLINK("https://maps.google.com/?q=16.78112687,-96.945791940000007", "🔗 Ver Mapa")</f>
        <v>🔗 Ver Mapa</v>
      </c>
    </row>
    <row r="1261" spans="1:12" ht="43.5" x14ac:dyDescent="0.35">
      <c r="A1261" s="5" t="s">
        <v>206</v>
      </c>
      <c r="B1261" s="5" t="s">
        <v>207</v>
      </c>
      <c r="C1261" s="5" t="s">
        <v>252</v>
      </c>
      <c r="D1261" s="5" t="s">
        <v>34</v>
      </c>
      <c r="E1261" s="5" t="s">
        <v>37</v>
      </c>
      <c r="F1261" s="5" t="s">
        <v>253</v>
      </c>
      <c r="G1261" s="5" t="s">
        <v>254</v>
      </c>
      <c r="H1261" s="5" t="s">
        <v>255</v>
      </c>
      <c r="I1261" s="5" t="s">
        <v>213</v>
      </c>
      <c r="J1261" s="5">
        <v>16.781221089999999</v>
      </c>
      <c r="K1261" s="5">
        <v>-96.945038289999999</v>
      </c>
      <c r="L1261" s="5" t="str">
        <f>HYPERLINK("https://maps.google.com/?q=16.78122109,-96.945038289999999", "🔗 Ver Mapa")</f>
        <v>🔗 Ver Mapa</v>
      </c>
    </row>
    <row r="1262" spans="1:12" ht="43.5" x14ac:dyDescent="0.35">
      <c r="A1262" s="6" t="s">
        <v>206</v>
      </c>
      <c r="B1262" s="6" t="s">
        <v>207</v>
      </c>
      <c r="C1262" s="6" t="s">
        <v>252</v>
      </c>
      <c r="D1262" s="6" t="s">
        <v>34</v>
      </c>
      <c r="E1262" s="6" t="s">
        <v>37</v>
      </c>
      <c r="F1262" s="6" t="s">
        <v>253</v>
      </c>
      <c r="G1262" s="6" t="s">
        <v>254</v>
      </c>
      <c r="H1262" s="6" t="s">
        <v>255</v>
      </c>
      <c r="I1262" s="6" t="s">
        <v>213</v>
      </c>
      <c r="J1262" s="6">
        <v>16.781295870000001</v>
      </c>
      <c r="K1262" s="6">
        <v>-96.948949940000006</v>
      </c>
      <c r="L1262" s="6" t="str">
        <f>HYPERLINK("https://maps.google.com/?q=16.78129587,-96.948949940000006", "🔗 Ver Mapa")</f>
        <v>🔗 Ver Mapa</v>
      </c>
    </row>
    <row r="1263" spans="1:12" ht="43.5" x14ac:dyDescent="0.35">
      <c r="A1263" s="5" t="s">
        <v>206</v>
      </c>
      <c r="B1263" s="5" t="s">
        <v>207</v>
      </c>
      <c r="C1263" s="5" t="s">
        <v>252</v>
      </c>
      <c r="D1263" s="5" t="s">
        <v>34</v>
      </c>
      <c r="E1263" s="5" t="s">
        <v>37</v>
      </c>
      <c r="F1263" s="5" t="s">
        <v>253</v>
      </c>
      <c r="G1263" s="5" t="s">
        <v>254</v>
      </c>
      <c r="H1263" s="5" t="s">
        <v>255</v>
      </c>
      <c r="I1263" s="5" t="s">
        <v>213</v>
      </c>
      <c r="J1263" s="5">
        <v>16.78129843</v>
      </c>
      <c r="K1263" s="5">
        <v>-96.946050880000001</v>
      </c>
      <c r="L1263" s="5" t="str">
        <f>HYPERLINK("https://maps.google.com/?q=16.78129843,-96.946050880000001", "🔗 Ver Mapa")</f>
        <v>🔗 Ver Mapa</v>
      </c>
    </row>
    <row r="1264" spans="1:12" ht="43.5" x14ac:dyDescent="0.35">
      <c r="A1264" s="6" t="s">
        <v>206</v>
      </c>
      <c r="B1264" s="6" t="s">
        <v>207</v>
      </c>
      <c r="C1264" s="6" t="s">
        <v>252</v>
      </c>
      <c r="D1264" s="6" t="s">
        <v>34</v>
      </c>
      <c r="E1264" s="6" t="s">
        <v>37</v>
      </c>
      <c r="F1264" s="6" t="s">
        <v>253</v>
      </c>
      <c r="G1264" s="6" t="s">
        <v>254</v>
      </c>
      <c r="H1264" s="6" t="s">
        <v>255</v>
      </c>
      <c r="I1264" s="6" t="s">
        <v>213</v>
      </c>
      <c r="J1264" s="6">
        <v>16.781499449999998</v>
      </c>
      <c r="K1264" s="6">
        <v>-96.946292229999997</v>
      </c>
      <c r="L1264" s="6" t="str">
        <f>HYPERLINK("https://maps.google.com/?q=16.78149945,-96.946292229999997", "🔗 Ver Mapa")</f>
        <v>🔗 Ver Mapa</v>
      </c>
    </row>
    <row r="1265" spans="1:12" ht="43.5" x14ac:dyDescent="0.35">
      <c r="A1265" s="5" t="s">
        <v>206</v>
      </c>
      <c r="B1265" s="5" t="s">
        <v>207</v>
      </c>
      <c r="C1265" s="5" t="s">
        <v>252</v>
      </c>
      <c r="D1265" s="5" t="s">
        <v>34</v>
      </c>
      <c r="E1265" s="5" t="s">
        <v>37</v>
      </c>
      <c r="F1265" s="5" t="s">
        <v>253</v>
      </c>
      <c r="G1265" s="5" t="s">
        <v>254</v>
      </c>
      <c r="H1265" s="5" t="s">
        <v>255</v>
      </c>
      <c r="I1265" s="5" t="s">
        <v>213</v>
      </c>
      <c r="J1265" s="5">
        <v>16.781563869999999</v>
      </c>
      <c r="K1265" s="5">
        <v>-96.948953939999996</v>
      </c>
      <c r="L1265" s="5" t="str">
        <f>HYPERLINK("https://maps.google.com/?q=16.78156387,-96.948953939999996", "🔗 Ver Mapa")</f>
        <v>🔗 Ver Mapa</v>
      </c>
    </row>
    <row r="1266" spans="1:12" ht="43.5" x14ac:dyDescent="0.35">
      <c r="A1266" s="6" t="s">
        <v>206</v>
      </c>
      <c r="B1266" s="6" t="s">
        <v>207</v>
      </c>
      <c r="C1266" s="6" t="s">
        <v>252</v>
      </c>
      <c r="D1266" s="6" t="s">
        <v>34</v>
      </c>
      <c r="E1266" s="6" t="s">
        <v>37</v>
      </c>
      <c r="F1266" s="6" t="s">
        <v>253</v>
      </c>
      <c r="G1266" s="6" t="s">
        <v>254</v>
      </c>
      <c r="H1266" s="6" t="s">
        <v>255</v>
      </c>
      <c r="I1266" s="6" t="s">
        <v>213</v>
      </c>
      <c r="J1266" s="6">
        <v>16.78165315</v>
      </c>
      <c r="K1266" s="6">
        <v>-96.944475449999999</v>
      </c>
      <c r="L1266" s="6" t="str">
        <f>HYPERLINK("https://maps.google.com/?q=16.78165315,-96.944475449999999", "🔗 Ver Mapa")</f>
        <v>🔗 Ver Mapa</v>
      </c>
    </row>
    <row r="1267" spans="1:12" ht="43.5" x14ac:dyDescent="0.35">
      <c r="A1267" s="5" t="s">
        <v>206</v>
      </c>
      <c r="B1267" s="5" t="s">
        <v>207</v>
      </c>
      <c r="C1267" s="5" t="s">
        <v>252</v>
      </c>
      <c r="D1267" s="5" t="s">
        <v>34</v>
      </c>
      <c r="E1267" s="5" t="s">
        <v>37</v>
      </c>
      <c r="F1267" s="5" t="s">
        <v>253</v>
      </c>
      <c r="G1267" s="5" t="s">
        <v>254</v>
      </c>
      <c r="H1267" s="5" t="s">
        <v>255</v>
      </c>
      <c r="I1267" s="5" t="s">
        <v>213</v>
      </c>
      <c r="J1267" s="5">
        <v>16.781759319999999</v>
      </c>
      <c r="K1267" s="5">
        <v>-96.94649149</v>
      </c>
      <c r="L1267" s="5" t="str">
        <f>HYPERLINK("https://maps.google.com/?q=16.78175932,-96.94649149", "🔗 Ver Mapa")</f>
        <v>🔗 Ver Mapa</v>
      </c>
    </row>
    <row r="1268" spans="1:12" ht="43.5" x14ac:dyDescent="0.35">
      <c r="A1268" s="6" t="s">
        <v>206</v>
      </c>
      <c r="B1268" s="6" t="s">
        <v>207</v>
      </c>
      <c r="C1268" s="6" t="s">
        <v>252</v>
      </c>
      <c r="D1268" s="6" t="s">
        <v>34</v>
      </c>
      <c r="E1268" s="6" t="s">
        <v>37</v>
      </c>
      <c r="F1268" s="6" t="s">
        <v>253</v>
      </c>
      <c r="G1268" s="6" t="s">
        <v>254</v>
      </c>
      <c r="H1268" s="6" t="s">
        <v>255</v>
      </c>
      <c r="I1268" s="6" t="s">
        <v>213</v>
      </c>
      <c r="J1268" s="6">
        <v>16.78185847</v>
      </c>
      <c r="K1268" s="6">
        <v>-96.944208419999995</v>
      </c>
      <c r="L1268" s="6" t="str">
        <f>HYPERLINK("https://maps.google.com/?q=16.78185847,-96.944208419999995", "🔗 Ver Mapa")</f>
        <v>🔗 Ver Mapa</v>
      </c>
    </row>
    <row r="1269" spans="1:12" ht="43.5" x14ac:dyDescent="0.35">
      <c r="A1269" s="5" t="s">
        <v>206</v>
      </c>
      <c r="B1269" s="5" t="s">
        <v>207</v>
      </c>
      <c r="C1269" s="5" t="s">
        <v>252</v>
      </c>
      <c r="D1269" s="5" t="s">
        <v>34</v>
      </c>
      <c r="E1269" s="5" t="s">
        <v>37</v>
      </c>
      <c r="F1269" s="5" t="s">
        <v>253</v>
      </c>
      <c r="G1269" s="5" t="s">
        <v>254</v>
      </c>
      <c r="H1269" s="5" t="s">
        <v>255</v>
      </c>
      <c r="I1269" s="5" t="s">
        <v>213</v>
      </c>
      <c r="J1269" s="5">
        <v>16.78192387</v>
      </c>
      <c r="K1269" s="5">
        <v>-96.94861994</v>
      </c>
      <c r="L1269" s="5" t="str">
        <f>HYPERLINK("https://maps.google.com/?q=16.78192387,-96.94861994", "🔗 Ver Mapa")</f>
        <v>🔗 Ver Mapa</v>
      </c>
    </row>
    <row r="1270" spans="1:12" ht="43.5" x14ac:dyDescent="0.35">
      <c r="A1270" s="6" t="s">
        <v>206</v>
      </c>
      <c r="B1270" s="6" t="s">
        <v>207</v>
      </c>
      <c r="C1270" s="6" t="s">
        <v>252</v>
      </c>
      <c r="D1270" s="6" t="s">
        <v>34</v>
      </c>
      <c r="E1270" s="6" t="s">
        <v>37</v>
      </c>
      <c r="F1270" s="6" t="s">
        <v>253</v>
      </c>
      <c r="G1270" s="6" t="s">
        <v>254</v>
      </c>
      <c r="H1270" s="6" t="s">
        <v>255</v>
      </c>
      <c r="I1270" s="6" t="s">
        <v>213</v>
      </c>
      <c r="J1270" s="6">
        <v>16.781940500000001</v>
      </c>
      <c r="K1270" s="6">
        <v>-96.943899160000001</v>
      </c>
      <c r="L1270" s="6" t="str">
        <f>HYPERLINK("https://maps.google.com/?q=16.7819405,-96.943899160000001", "🔗 Ver Mapa")</f>
        <v>🔗 Ver Mapa</v>
      </c>
    </row>
    <row r="1271" spans="1:12" ht="43.5" x14ac:dyDescent="0.35">
      <c r="A1271" s="5" t="s">
        <v>206</v>
      </c>
      <c r="B1271" s="5" t="s">
        <v>207</v>
      </c>
      <c r="C1271" s="5" t="s">
        <v>252</v>
      </c>
      <c r="D1271" s="5" t="s">
        <v>34</v>
      </c>
      <c r="E1271" s="5" t="s">
        <v>37</v>
      </c>
      <c r="F1271" s="5" t="s">
        <v>253</v>
      </c>
      <c r="G1271" s="5" t="s">
        <v>254</v>
      </c>
      <c r="H1271" s="5" t="s">
        <v>255</v>
      </c>
      <c r="I1271" s="5" t="s">
        <v>213</v>
      </c>
      <c r="J1271" s="5">
        <v>16.782005869999999</v>
      </c>
      <c r="K1271" s="5">
        <v>-96.946767929999993</v>
      </c>
      <c r="L1271" s="5" t="str">
        <f>HYPERLINK("https://maps.google.com/?q=16.78200587,-96.946767929999993", "🔗 Ver Mapa")</f>
        <v>🔗 Ver Mapa</v>
      </c>
    </row>
    <row r="1272" spans="1:12" ht="43.5" x14ac:dyDescent="0.35">
      <c r="A1272" s="6" t="s">
        <v>206</v>
      </c>
      <c r="B1272" s="6" t="s">
        <v>207</v>
      </c>
      <c r="C1272" s="6" t="s">
        <v>252</v>
      </c>
      <c r="D1272" s="6" t="s">
        <v>34</v>
      </c>
      <c r="E1272" s="6" t="s">
        <v>37</v>
      </c>
      <c r="F1272" s="6" t="s">
        <v>253</v>
      </c>
      <c r="G1272" s="6" t="s">
        <v>254</v>
      </c>
      <c r="H1272" s="6" t="s">
        <v>255</v>
      </c>
      <c r="I1272" s="6" t="s">
        <v>213</v>
      </c>
      <c r="J1272" s="6">
        <v>16.78200769</v>
      </c>
      <c r="K1272" s="6">
        <v>-96.948343010000002</v>
      </c>
      <c r="L1272" s="6" t="str">
        <f>HYPERLINK("https://maps.google.com/?q=16.78200769,-96.948343010000002", "🔗 Ver Mapa")</f>
        <v>🔗 Ver Mapa</v>
      </c>
    </row>
    <row r="1273" spans="1:12" ht="43.5" x14ac:dyDescent="0.35">
      <c r="A1273" s="5" t="s">
        <v>206</v>
      </c>
      <c r="B1273" s="5" t="s">
        <v>207</v>
      </c>
      <c r="C1273" s="5" t="s">
        <v>252</v>
      </c>
      <c r="D1273" s="5" t="s">
        <v>34</v>
      </c>
      <c r="E1273" s="5" t="s">
        <v>37</v>
      </c>
      <c r="F1273" s="5" t="s">
        <v>253</v>
      </c>
      <c r="G1273" s="5" t="s">
        <v>254</v>
      </c>
      <c r="H1273" s="5" t="s">
        <v>255</v>
      </c>
      <c r="I1273" s="5" t="s">
        <v>213</v>
      </c>
      <c r="J1273" s="5">
        <v>16.78202843</v>
      </c>
      <c r="K1273" s="5">
        <v>-96.943185990000003</v>
      </c>
      <c r="L1273" s="5" t="str">
        <f>HYPERLINK("https://maps.google.com/?q=16.78202843,-96.943185990000003", "🔗 Ver Mapa")</f>
        <v>🔗 Ver Mapa</v>
      </c>
    </row>
    <row r="1274" spans="1:12" ht="43.5" x14ac:dyDescent="0.35">
      <c r="A1274" s="6" t="s">
        <v>206</v>
      </c>
      <c r="B1274" s="6" t="s">
        <v>207</v>
      </c>
      <c r="C1274" s="6" t="s">
        <v>252</v>
      </c>
      <c r="D1274" s="6" t="s">
        <v>34</v>
      </c>
      <c r="E1274" s="6" t="s">
        <v>37</v>
      </c>
      <c r="F1274" s="6" t="s">
        <v>253</v>
      </c>
      <c r="G1274" s="6" t="s">
        <v>254</v>
      </c>
      <c r="H1274" s="6" t="s">
        <v>255</v>
      </c>
      <c r="I1274" s="6" t="s">
        <v>213</v>
      </c>
      <c r="J1274" s="6">
        <v>16.782062870000001</v>
      </c>
      <c r="K1274" s="6">
        <v>-96.947856939999994</v>
      </c>
      <c r="L1274" s="6" t="str">
        <f>HYPERLINK("https://maps.google.com/?q=16.78206287,-96.947856939999994", "🔗 Ver Mapa")</f>
        <v>🔗 Ver Mapa</v>
      </c>
    </row>
    <row r="1275" spans="1:12" ht="43.5" x14ac:dyDescent="0.35">
      <c r="A1275" s="5" t="s">
        <v>206</v>
      </c>
      <c r="B1275" s="5" t="s">
        <v>207</v>
      </c>
      <c r="C1275" s="5" t="s">
        <v>252</v>
      </c>
      <c r="D1275" s="5" t="s">
        <v>34</v>
      </c>
      <c r="E1275" s="5" t="s">
        <v>37</v>
      </c>
      <c r="F1275" s="5" t="s">
        <v>253</v>
      </c>
      <c r="G1275" s="5" t="s">
        <v>254</v>
      </c>
      <c r="H1275" s="5" t="s">
        <v>255</v>
      </c>
      <c r="I1275" s="5" t="s">
        <v>213</v>
      </c>
      <c r="J1275" s="5">
        <v>16.782088869999999</v>
      </c>
      <c r="K1275" s="5">
        <v>-96.947034939999995</v>
      </c>
      <c r="L1275" s="5" t="str">
        <f>HYPERLINK("https://maps.google.com/?q=16.78208887,-96.947034939999995", "🔗 Ver Mapa")</f>
        <v>🔗 Ver Mapa</v>
      </c>
    </row>
    <row r="1276" spans="1:12" ht="43.5" x14ac:dyDescent="0.35">
      <c r="A1276" s="6" t="s">
        <v>206</v>
      </c>
      <c r="B1276" s="6" t="s">
        <v>207</v>
      </c>
      <c r="C1276" s="6" t="s">
        <v>252</v>
      </c>
      <c r="D1276" s="6" t="s">
        <v>34</v>
      </c>
      <c r="E1276" s="6" t="s">
        <v>37</v>
      </c>
      <c r="F1276" s="6" t="s">
        <v>253</v>
      </c>
      <c r="G1276" s="6" t="s">
        <v>254</v>
      </c>
      <c r="H1276" s="6" t="s">
        <v>255</v>
      </c>
      <c r="I1276" s="6" t="s">
        <v>213</v>
      </c>
      <c r="J1276" s="6">
        <v>16.782129869999999</v>
      </c>
      <c r="K1276" s="6">
        <v>-96.947330940000001</v>
      </c>
      <c r="L1276" s="6" t="str">
        <f>HYPERLINK("https://maps.google.com/?q=16.78212987,-96.947330940000001", "🔗 Ver Mapa")</f>
        <v>🔗 Ver Mapa</v>
      </c>
    </row>
    <row r="1277" spans="1:12" ht="43.5" x14ac:dyDescent="0.35">
      <c r="A1277" s="5" t="s">
        <v>206</v>
      </c>
      <c r="B1277" s="5" t="s">
        <v>207</v>
      </c>
      <c r="C1277" s="5" t="s">
        <v>252</v>
      </c>
      <c r="D1277" s="5" t="s">
        <v>34</v>
      </c>
      <c r="E1277" s="5" t="s">
        <v>37</v>
      </c>
      <c r="F1277" s="5" t="s">
        <v>253</v>
      </c>
      <c r="G1277" s="5" t="s">
        <v>254</v>
      </c>
      <c r="H1277" s="5" t="s">
        <v>255</v>
      </c>
      <c r="I1277" s="5" t="s">
        <v>213</v>
      </c>
      <c r="J1277" s="5">
        <v>16.782156870000001</v>
      </c>
      <c r="K1277" s="5">
        <v>-96.947566940000002</v>
      </c>
      <c r="L1277" s="5" t="str">
        <f>HYPERLINK("https://maps.google.com/?q=16.78215687,-96.947566940000002", "🔗 Ver Mapa")</f>
        <v>🔗 Ver Mapa</v>
      </c>
    </row>
    <row r="1278" spans="1:12" ht="43.5" x14ac:dyDescent="0.35">
      <c r="A1278" s="6" t="s">
        <v>206</v>
      </c>
      <c r="B1278" s="6" t="s">
        <v>207</v>
      </c>
      <c r="C1278" s="6" t="s">
        <v>252</v>
      </c>
      <c r="D1278" s="6" t="s">
        <v>34</v>
      </c>
      <c r="E1278" s="6" t="s">
        <v>37</v>
      </c>
      <c r="F1278" s="6" t="s">
        <v>253</v>
      </c>
      <c r="G1278" s="6" t="s">
        <v>254</v>
      </c>
      <c r="H1278" s="6" t="s">
        <v>255</v>
      </c>
      <c r="I1278" s="6" t="s">
        <v>213</v>
      </c>
      <c r="J1278" s="6">
        <v>16.78225011</v>
      </c>
      <c r="K1278" s="6">
        <v>-96.942625309999997</v>
      </c>
      <c r="L1278" s="6" t="str">
        <f>HYPERLINK("https://maps.google.com/?q=16.78225011,-96.942625309999997", "🔗 Ver Mapa")</f>
        <v>🔗 Ver Mapa</v>
      </c>
    </row>
    <row r="1279" spans="1:12" ht="43.5" x14ac:dyDescent="0.35">
      <c r="A1279" s="5" t="s">
        <v>206</v>
      </c>
      <c r="B1279" s="5" t="s">
        <v>207</v>
      </c>
      <c r="C1279" s="5" t="s">
        <v>252</v>
      </c>
      <c r="D1279" s="5" t="s">
        <v>34</v>
      </c>
      <c r="E1279" s="5" t="s">
        <v>37</v>
      </c>
      <c r="F1279" s="5" t="s">
        <v>253</v>
      </c>
      <c r="G1279" s="5" t="s">
        <v>254</v>
      </c>
      <c r="H1279" s="5" t="s">
        <v>255</v>
      </c>
      <c r="I1279" s="5" t="s">
        <v>213</v>
      </c>
      <c r="J1279" s="5">
        <v>16.78234565</v>
      </c>
      <c r="K1279" s="5">
        <v>-96.942183259999993</v>
      </c>
      <c r="L1279" s="5" t="str">
        <f>HYPERLINK("https://maps.google.com/?q=16.78234565,-96.942183259999993", "🔗 Ver Mapa")</f>
        <v>🔗 Ver Mapa</v>
      </c>
    </row>
    <row r="1280" spans="1:12" ht="43.5" x14ac:dyDescent="0.35">
      <c r="A1280" s="6" t="s">
        <v>206</v>
      </c>
      <c r="B1280" s="6" t="s">
        <v>207</v>
      </c>
      <c r="C1280" s="6" t="s">
        <v>252</v>
      </c>
      <c r="D1280" s="6" t="s">
        <v>34</v>
      </c>
      <c r="E1280" s="6" t="s">
        <v>37</v>
      </c>
      <c r="F1280" s="6" t="s">
        <v>253</v>
      </c>
      <c r="G1280" s="6" t="s">
        <v>254</v>
      </c>
      <c r="H1280" s="6" t="s">
        <v>255</v>
      </c>
      <c r="I1280" s="6" t="s">
        <v>213</v>
      </c>
      <c r="J1280" s="6">
        <v>16.782472039999998</v>
      </c>
      <c r="K1280" s="6">
        <v>-96.936609189999999</v>
      </c>
      <c r="L1280" s="6" t="str">
        <f>HYPERLINK("https://maps.google.com/?q=16.78247204,-96.936609189999999", "🔗 Ver Mapa")</f>
        <v>🔗 Ver Mapa</v>
      </c>
    </row>
    <row r="1281" spans="1:12" ht="43.5" x14ac:dyDescent="0.35">
      <c r="A1281" s="5" t="s">
        <v>206</v>
      </c>
      <c r="B1281" s="5" t="s">
        <v>207</v>
      </c>
      <c r="C1281" s="5" t="s">
        <v>252</v>
      </c>
      <c r="D1281" s="5" t="s">
        <v>34</v>
      </c>
      <c r="E1281" s="5" t="s">
        <v>37</v>
      </c>
      <c r="F1281" s="5" t="s">
        <v>253</v>
      </c>
      <c r="G1281" s="5" t="s">
        <v>254</v>
      </c>
      <c r="H1281" s="5" t="s">
        <v>255</v>
      </c>
      <c r="I1281" s="5" t="s">
        <v>213</v>
      </c>
      <c r="J1281" s="5">
        <v>16.7825025</v>
      </c>
      <c r="K1281" s="5">
        <v>-96.941796120000006</v>
      </c>
      <c r="L1281" s="5" t="str">
        <f>HYPERLINK("https://maps.google.com/?q=16.7825025,-96.941796120000006", "🔗 Ver Mapa")</f>
        <v>🔗 Ver Mapa</v>
      </c>
    </row>
    <row r="1282" spans="1:12" ht="43.5" x14ac:dyDescent="0.35">
      <c r="A1282" s="6" t="s">
        <v>206</v>
      </c>
      <c r="B1282" s="6" t="s">
        <v>207</v>
      </c>
      <c r="C1282" s="6" t="s">
        <v>252</v>
      </c>
      <c r="D1282" s="6" t="s">
        <v>34</v>
      </c>
      <c r="E1282" s="6" t="s">
        <v>37</v>
      </c>
      <c r="F1282" s="6" t="s">
        <v>253</v>
      </c>
      <c r="G1282" s="6" t="s">
        <v>254</v>
      </c>
      <c r="H1282" s="6" t="s">
        <v>255</v>
      </c>
      <c r="I1282" s="6" t="s">
        <v>213</v>
      </c>
      <c r="J1282" s="6">
        <v>16.782597060000001</v>
      </c>
      <c r="K1282" s="6">
        <v>-96.937990819999996</v>
      </c>
      <c r="L1282" s="6" t="str">
        <f>HYPERLINK("https://maps.google.com/?q=16.78259706,-96.937990819999996", "🔗 Ver Mapa")</f>
        <v>🔗 Ver Mapa</v>
      </c>
    </row>
    <row r="1283" spans="1:12" ht="43.5" x14ac:dyDescent="0.35">
      <c r="A1283" s="5" t="s">
        <v>206</v>
      </c>
      <c r="B1283" s="5" t="s">
        <v>207</v>
      </c>
      <c r="C1283" s="5" t="s">
        <v>252</v>
      </c>
      <c r="D1283" s="5" t="s">
        <v>34</v>
      </c>
      <c r="E1283" s="5" t="s">
        <v>37</v>
      </c>
      <c r="F1283" s="5" t="s">
        <v>253</v>
      </c>
      <c r="G1283" s="5" t="s">
        <v>254</v>
      </c>
      <c r="H1283" s="5" t="s">
        <v>255</v>
      </c>
      <c r="I1283" s="5" t="s">
        <v>213</v>
      </c>
      <c r="J1283" s="5">
        <v>16.782626709999999</v>
      </c>
      <c r="K1283" s="5">
        <v>-96.935230480000001</v>
      </c>
      <c r="L1283" s="5" t="str">
        <f>HYPERLINK("https://maps.google.com/?q=16.78262671,-96.935230480000001", "🔗 Ver Mapa")</f>
        <v>🔗 Ver Mapa</v>
      </c>
    </row>
    <row r="1284" spans="1:12" ht="43.5" x14ac:dyDescent="0.35">
      <c r="A1284" s="6" t="s">
        <v>206</v>
      </c>
      <c r="B1284" s="6" t="s">
        <v>207</v>
      </c>
      <c r="C1284" s="6" t="s">
        <v>252</v>
      </c>
      <c r="D1284" s="6" t="s">
        <v>34</v>
      </c>
      <c r="E1284" s="6" t="s">
        <v>37</v>
      </c>
      <c r="F1284" s="6" t="s">
        <v>253</v>
      </c>
      <c r="G1284" s="6" t="s">
        <v>254</v>
      </c>
      <c r="H1284" s="6" t="s">
        <v>255</v>
      </c>
      <c r="I1284" s="6" t="s">
        <v>213</v>
      </c>
      <c r="J1284" s="6">
        <v>16.782787840000001</v>
      </c>
      <c r="K1284" s="6">
        <v>-96.941488849999999</v>
      </c>
      <c r="L1284" s="6" t="str">
        <f>HYPERLINK("https://maps.google.com/?q=16.78278784,-96.941488849999999", "🔗 Ver Mapa")</f>
        <v>🔗 Ver Mapa</v>
      </c>
    </row>
    <row r="1285" spans="1:12" ht="43.5" x14ac:dyDescent="0.35">
      <c r="A1285" s="5" t="s">
        <v>206</v>
      </c>
      <c r="B1285" s="5" t="s">
        <v>207</v>
      </c>
      <c r="C1285" s="5" t="s">
        <v>252</v>
      </c>
      <c r="D1285" s="5" t="s">
        <v>34</v>
      </c>
      <c r="E1285" s="5" t="s">
        <v>37</v>
      </c>
      <c r="F1285" s="5" t="s">
        <v>253</v>
      </c>
      <c r="G1285" s="5" t="s">
        <v>254</v>
      </c>
      <c r="H1285" s="5" t="s">
        <v>255</v>
      </c>
      <c r="I1285" s="5" t="s">
        <v>213</v>
      </c>
      <c r="J1285" s="5">
        <v>16.7828026</v>
      </c>
      <c r="K1285" s="5">
        <v>-96.939055890000006</v>
      </c>
      <c r="L1285" s="5" t="str">
        <f>HYPERLINK("https://maps.google.com/?q=16.7828026,-96.939055890000006", "🔗 Ver Mapa")</f>
        <v>🔗 Ver Mapa</v>
      </c>
    </row>
    <row r="1286" spans="1:12" ht="43.5" x14ac:dyDescent="0.35">
      <c r="A1286" s="6" t="s">
        <v>206</v>
      </c>
      <c r="B1286" s="6" t="s">
        <v>207</v>
      </c>
      <c r="C1286" s="6" t="s">
        <v>252</v>
      </c>
      <c r="D1286" s="6" t="s">
        <v>34</v>
      </c>
      <c r="E1286" s="6" t="s">
        <v>37</v>
      </c>
      <c r="F1286" s="6" t="s">
        <v>253</v>
      </c>
      <c r="G1286" s="6" t="s">
        <v>254</v>
      </c>
      <c r="H1286" s="6" t="s">
        <v>255</v>
      </c>
      <c r="I1286" s="6" t="s">
        <v>213</v>
      </c>
      <c r="J1286" s="6">
        <v>16.782981580000001</v>
      </c>
      <c r="K1286" s="6">
        <v>-96.934459230000002</v>
      </c>
      <c r="L1286" s="6" t="str">
        <f>HYPERLINK("https://maps.google.com/?q=16.78298158,-96.934459230000002", "🔗 Ver Mapa")</f>
        <v>🔗 Ver Mapa</v>
      </c>
    </row>
    <row r="1287" spans="1:12" ht="43.5" x14ac:dyDescent="0.35">
      <c r="A1287" s="5" t="s">
        <v>206</v>
      </c>
      <c r="B1287" s="5" t="s">
        <v>207</v>
      </c>
      <c r="C1287" s="5" t="s">
        <v>252</v>
      </c>
      <c r="D1287" s="5" t="s">
        <v>34</v>
      </c>
      <c r="E1287" s="5" t="s">
        <v>37</v>
      </c>
      <c r="F1287" s="5" t="s">
        <v>253</v>
      </c>
      <c r="G1287" s="5" t="s">
        <v>254</v>
      </c>
      <c r="H1287" s="5" t="s">
        <v>255</v>
      </c>
      <c r="I1287" s="5" t="s">
        <v>213</v>
      </c>
      <c r="J1287" s="5">
        <v>16.78305679</v>
      </c>
      <c r="K1287" s="5">
        <v>-96.940315839999997</v>
      </c>
      <c r="L1287" s="5" t="str">
        <f>HYPERLINK("https://maps.google.com/?q=16.78305679,-96.940315839999997", "🔗 Ver Mapa")</f>
        <v>🔗 Ver Mapa</v>
      </c>
    </row>
    <row r="1288" spans="1:12" ht="43.5" x14ac:dyDescent="0.35">
      <c r="A1288" s="6" t="s">
        <v>206</v>
      </c>
      <c r="B1288" s="6" t="s">
        <v>207</v>
      </c>
      <c r="C1288" s="6" t="s">
        <v>252</v>
      </c>
      <c r="D1288" s="6" t="s">
        <v>34</v>
      </c>
      <c r="E1288" s="6" t="s">
        <v>37</v>
      </c>
      <c r="F1288" s="6" t="s">
        <v>253</v>
      </c>
      <c r="G1288" s="6" t="s">
        <v>254</v>
      </c>
      <c r="H1288" s="6" t="s">
        <v>255</v>
      </c>
      <c r="I1288" s="6" t="s">
        <v>213</v>
      </c>
      <c r="J1288" s="6">
        <v>16.783075870000001</v>
      </c>
      <c r="K1288" s="6">
        <v>-96.940869120000002</v>
      </c>
      <c r="L1288" s="6" t="str">
        <f>HYPERLINK("https://maps.google.com/?q=16.78307587,-96.940869120000002", "🔗 Ver Mapa")</f>
        <v>🔗 Ver Mapa</v>
      </c>
    </row>
    <row r="1289" spans="1:12" ht="43.5" x14ac:dyDescent="0.35">
      <c r="A1289" s="5" t="s">
        <v>206</v>
      </c>
      <c r="B1289" s="5" t="s">
        <v>207</v>
      </c>
      <c r="C1289" s="5" t="s">
        <v>252</v>
      </c>
      <c r="D1289" s="5" t="s">
        <v>34</v>
      </c>
      <c r="E1289" s="5" t="s">
        <v>37</v>
      </c>
      <c r="F1289" s="5" t="s">
        <v>253</v>
      </c>
      <c r="G1289" s="5" t="s">
        <v>254</v>
      </c>
      <c r="H1289" s="5" t="s">
        <v>255</v>
      </c>
      <c r="I1289" s="5" t="s">
        <v>213</v>
      </c>
      <c r="J1289" s="5">
        <v>16.78336616</v>
      </c>
      <c r="K1289" s="5">
        <v>-96.933677439999997</v>
      </c>
      <c r="L1289" s="5" t="str">
        <f>HYPERLINK("https://maps.google.com/?q=16.78336616,-96.933677439999997", "🔗 Ver Mapa")</f>
        <v>🔗 Ver Mapa</v>
      </c>
    </row>
    <row r="1290" spans="1:12" ht="43.5" x14ac:dyDescent="0.35">
      <c r="A1290" s="6" t="s">
        <v>206</v>
      </c>
      <c r="B1290" s="6" t="s">
        <v>207</v>
      </c>
      <c r="C1290" s="6" t="s">
        <v>252</v>
      </c>
      <c r="D1290" s="6" t="s">
        <v>34</v>
      </c>
      <c r="E1290" s="6" t="s">
        <v>37</v>
      </c>
      <c r="F1290" s="6" t="s">
        <v>253</v>
      </c>
      <c r="G1290" s="6" t="s">
        <v>254</v>
      </c>
      <c r="H1290" s="6" t="s">
        <v>255</v>
      </c>
      <c r="I1290" s="6" t="s">
        <v>213</v>
      </c>
      <c r="J1290" s="6">
        <v>16.783799900000002</v>
      </c>
      <c r="K1290" s="6">
        <v>-96.933411050000004</v>
      </c>
      <c r="L1290" s="6" t="str">
        <f>HYPERLINK("https://maps.google.com/?q=16.7837999,-96.933411050000004", "🔗 Ver Mapa")</f>
        <v>🔗 Ver Mapa</v>
      </c>
    </row>
    <row r="1291" spans="1:12" ht="43.5" x14ac:dyDescent="0.35">
      <c r="A1291" s="5" t="s">
        <v>206</v>
      </c>
      <c r="B1291" s="5" t="s">
        <v>207</v>
      </c>
      <c r="C1291" s="5" t="s">
        <v>252</v>
      </c>
      <c r="D1291" s="5" t="s">
        <v>34</v>
      </c>
      <c r="E1291" s="5" t="s">
        <v>37</v>
      </c>
      <c r="F1291" s="5" t="s">
        <v>253</v>
      </c>
      <c r="G1291" s="5" t="s">
        <v>254</v>
      </c>
      <c r="H1291" s="5" t="s">
        <v>255</v>
      </c>
      <c r="I1291" s="5" t="s">
        <v>213</v>
      </c>
      <c r="J1291" s="5">
        <v>16.78438989</v>
      </c>
      <c r="K1291" s="5">
        <v>-96.933140339999994</v>
      </c>
      <c r="L1291" s="5" t="str">
        <f>HYPERLINK("https://maps.google.com/?q=16.78438989,-96.933140339999994", "🔗 Ver Mapa")</f>
        <v>🔗 Ver Mapa</v>
      </c>
    </row>
    <row r="1292" spans="1:12" ht="43.5" x14ac:dyDescent="0.35">
      <c r="A1292" s="6" t="s">
        <v>206</v>
      </c>
      <c r="B1292" s="6" t="s">
        <v>207</v>
      </c>
      <c r="C1292" s="6" t="s">
        <v>252</v>
      </c>
      <c r="D1292" s="6" t="s">
        <v>34</v>
      </c>
      <c r="E1292" s="6" t="s">
        <v>37</v>
      </c>
      <c r="F1292" s="6" t="s">
        <v>253</v>
      </c>
      <c r="G1292" s="6" t="s">
        <v>254</v>
      </c>
      <c r="H1292" s="6" t="s">
        <v>255</v>
      </c>
      <c r="I1292" s="6" t="s">
        <v>213</v>
      </c>
      <c r="J1292" s="6">
        <v>16.784727820000001</v>
      </c>
      <c r="K1292" s="6">
        <v>-96.932110289999997</v>
      </c>
      <c r="L1292" s="6" t="str">
        <f>HYPERLINK("https://maps.google.com/?q=16.78472782,-96.932110289999997", "🔗 Ver Mapa")</f>
        <v>🔗 Ver Mapa</v>
      </c>
    </row>
    <row r="1293" spans="1:12" ht="43.5" x14ac:dyDescent="0.35">
      <c r="A1293" s="5" t="s">
        <v>206</v>
      </c>
      <c r="B1293" s="5" t="s">
        <v>207</v>
      </c>
      <c r="C1293" s="5" t="s">
        <v>252</v>
      </c>
      <c r="D1293" s="5" t="s">
        <v>34</v>
      </c>
      <c r="E1293" s="5" t="s">
        <v>37</v>
      </c>
      <c r="F1293" s="5" t="s">
        <v>253</v>
      </c>
      <c r="G1293" s="5" t="s">
        <v>254</v>
      </c>
      <c r="H1293" s="5" t="s">
        <v>255</v>
      </c>
      <c r="I1293" s="5" t="s">
        <v>213</v>
      </c>
      <c r="J1293" s="5">
        <v>16.785050550000001</v>
      </c>
      <c r="K1293" s="5">
        <v>-96.931230830000004</v>
      </c>
      <c r="L1293" s="5" t="str">
        <f>HYPERLINK("https://maps.google.com/?q=16.78505055,-96.931230830000004", "🔗 Ver Mapa")</f>
        <v>🔗 Ver Mapa</v>
      </c>
    </row>
    <row r="1294" spans="1:12" ht="43.5" x14ac:dyDescent="0.35">
      <c r="A1294" s="6" t="s">
        <v>206</v>
      </c>
      <c r="B1294" s="6" t="s">
        <v>207</v>
      </c>
      <c r="C1294" s="6" t="s">
        <v>252</v>
      </c>
      <c r="D1294" s="6" t="s">
        <v>34</v>
      </c>
      <c r="E1294" s="6" t="s">
        <v>37</v>
      </c>
      <c r="F1294" s="6" t="s">
        <v>253</v>
      </c>
      <c r="G1294" s="6" t="s">
        <v>254</v>
      </c>
      <c r="H1294" s="6" t="s">
        <v>255</v>
      </c>
      <c r="I1294" s="6" t="s">
        <v>213</v>
      </c>
      <c r="J1294" s="6">
        <v>16.785458049999999</v>
      </c>
      <c r="K1294" s="6">
        <v>-96.93070917</v>
      </c>
      <c r="L1294" s="6" t="str">
        <f>HYPERLINK("https://maps.google.com/?q=16.78545805,-96.93070917", "🔗 Ver Mapa")</f>
        <v>🔗 Ver Mapa</v>
      </c>
    </row>
    <row r="1295" spans="1:12" ht="43.5" x14ac:dyDescent="0.35">
      <c r="A1295" s="5" t="s">
        <v>206</v>
      </c>
      <c r="B1295" s="5" t="s">
        <v>207</v>
      </c>
      <c r="C1295" s="5" t="s">
        <v>252</v>
      </c>
      <c r="D1295" s="5" t="s">
        <v>34</v>
      </c>
      <c r="E1295" s="5" t="s">
        <v>37</v>
      </c>
      <c r="F1295" s="5" t="s">
        <v>253</v>
      </c>
      <c r="G1295" s="5" t="s">
        <v>254</v>
      </c>
      <c r="H1295" s="5" t="s">
        <v>255</v>
      </c>
      <c r="I1295" s="5" t="s">
        <v>213</v>
      </c>
      <c r="J1295" s="5">
        <v>16.785678668738001</v>
      </c>
      <c r="K1295" s="5">
        <v>-96.906364610338997</v>
      </c>
      <c r="L1295" s="5" t="str">
        <f>HYPERLINK("https://maps.google.com/?q=16.785678668738093,-96.906364610339338", "🔗 Ver Mapa")</f>
        <v>🔗 Ver Mapa</v>
      </c>
    </row>
    <row r="1296" spans="1:12" ht="43.5" x14ac:dyDescent="0.35">
      <c r="A1296" s="6" t="s">
        <v>206</v>
      </c>
      <c r="B1296" s="6" t="s">
        <v>207</v>
      </c>
      <c r="C1296" s="6" t="s">
        <v>252</v>
      </c>
      <c r="D1296" s="6" t="s">
        <v>34</v>
      </c>
      <c r="E1296" s="6" t="s">
        <v>37</v>
      </c>
      <c r="F1296" s="6" t="s">
        <v>253</v>
      </c>
      <c r="G1296" s="6" t="s">
        <v>254</v>
      </c>
      <c r="H1296" s="6" t="s">
        <v>255</v>
      </c>
      <c r="I1296" s="6" t="s">
        <v>213</v>
      </c>
      <c r="J1296" s="6">
        <v>16.785685682772002</v>
      </c>
      <c r="K1296" s="6">
        <v>-96.905499834257</v>
      </c>
      <c r="L1296" s="6" t="str">
        <f>HYPERLINK("https://maps.google.com/?q=16.78568568277209,-96.905499834257213", "🔗 Ver Mapa")</f>
        <v>🔗 Ver Mapa</v>
      </c>
    </row>
    <row r="1297" spans="1:12" ht="43.5" x14ac:dyDescent="0.35">
      <c r="A1297" s="5" t="s">
        <v>206</v>
      </c>
      <c r="B1297" s="5" t="s">
        <v>207</v>
      </c>
      <c r="C1297" s="5" t="s">
        <v>252</v>
      </c>
      <c r="D1297" s="5" t="s">
        <v>34</v>
      </c>
      <c r="E1297" s="5" t="s">
        <v>37</v>
      </c>
      <c r="F1297" s="5" t="s">
        <v>253</v>
      </c>
      <c r="G1297" s="5" t="s">
        <v>254</v>
      </c>
      <c r="H1297" s="5" t="s">
        <v>255</v>
      </c>
      <c r="I1297" s="5" t="s">
        <v>213</v>
      </c>
      <c r="J1297" s="5">
        <v>16.785748080000001</v>
      </c>
      <c r="K1297" s="5">
        <v>-96.930201850000003</v>
      </c>
      <c r="L1297" s="5" t="str">
        <f>HYPERLINK("https://maps.google.com/?q=16.78574808,-96.930201850000003", "🔗 Ver Mapa")</f>
        <v>🔗 Ver Mapa</v>
      </c>
    </row>
    <row r="1298" spans="1:12" ht="43.5" x14ac:dyDescent="0.35">
      <c r="A1298" s="6" t="s">
        <v>206</v>
      </c>
      <c r="B1298" s="6" t="s">
        <v>207</v>
      </c>
      <c r="C1298" s="6" t="s">
        <v>252</v>
      </c>
      <c r="D1298" s="6" t="s">
        <v>34</v>
      </c>
      <c r="E1298" s="6" t="s">
        <v>37</v>
      </c>
      <c r="F1298" s="6" t="s">
        <v>253</v>
      </c>
      <c r="G1298" s="6" t="s">
        <v>254</v>
      </c>
      <c r="H1298" s="6" t="s">
        <v>255</v>
      </c>
      <c r="I1298" s="6" t="s">
        <v>213</v>
      </c>
      <c r="J1298" s="6">
        <v>16.786005830000001</v>
      </c>
      <c r="K1298" s="6">
        <v>-96.929676549999996</v>
      </c>
      <c r="L1298" s="6" t="str">
        <f>HYPERLINK("https://maps.google.com/?q=16.78600583,-96.929676549999996", "🔗 Ver Mapa")</f>
        <v>🔗 Ver Mapa</v>
      </c>
    </row>
    <row r="1299" spans="1:12" ht="43.5" x14ac:dyDescent="0.35">
      <c r="A1299" s="5" t="s">
        <v>206</v>
      </c>
      <c r="B1299" s="5" t="s">
        <v>207</v>
      </c>
      <c r="C1299" s="5" t="s">
        <v>252</v>
      </c>
      <c r="D1299" s="5" t="s">
        <v>34</v>
      </c>
      <c r="E1299" s="5" t="s">
        <v>37</v>
      </c>
      <c r="F1299" s="5" t="s">
        <v>253</v>
      </c>
      <c r="G1299" s="5" t="s">
        <v>254</v>
      </c>
      <c r="H1299" s="5" t="s">
        <v>255</v>
      </c>
      <c r="I1299" s="5" t="s">
        <v>213</v>
      </c>
      <c r="J1299" s="5">
        <v>16.786029401678</v>
      </c>
      <c r="K1299" s="5">
        <v>-96.906875252134</v>
      </c>
      <c r="L1299" s="5" t="str">
        <f>HYPERLINK("https://maps.google.com/?q=16.78602940167813,-96.906875252134327", "🔗 Ver Mapa")</f>
        <v>🔗 Ver Mapa</v>
      </c>
    </row>
    <row r="1300" spans="1:12" ht="43.5" x14ac:dyDescent="0.35">
      <c r="A1300" s="6" t="s">
        <v>206</v>
      </c>
      <c r="B1300" s="6" t="s">
        <v>207</v>
      </c>
      <c r="C1300" s="6" t="s">
        <v>252</v>
      </c>
      <c r="D1300" s="6" t="s">
        <v>34</v>
      </c>
      <c r="E1300" s="6" t="s">
        <v>37</v>
      </c>
      <c r="F1300" s="6" t="s">
        <v>253</v>
      </c>
      <c r="G1300" s="6" t="s">
        <v>254</v>
      </c>
      <c r="H1300" s="6" t="s">
        <v>255</v>
      </c>
      <c r="I1300" s="6" t="s">
        <v>213</v>
      </c>
      <c r="J1300" s="6">
        <v>16.786100399999999</v>
      </c>
      <c r="K1300" s="6">
        <v>-96.897574469999995</v>
      </c>
      <c r="L1300" s="6" t="str">
        <f>HYPERLINK("https://maps.google.com/?q=16.7861004,-96.897574469999995", "🔗 Ver Mapa")</f>
        <v>🔗 Ver Mapa</v>
      </c>
    </row>
    <row r="1301" spans="1:12" ht="43.5" x14ac:dyDescent="0.35">
      <c r="A1301" s="5" t="s">
        <v>206</v>
      </c>
      <c r="B1301" s="5" t="s">
        <v>207</v>
      </c>
      <c r="C1301" s="5" t="s">
        <v>252</v>
      </c>
      <c r="D1301" s="5" t="s">
        <v>34</v>
      </c>
      <c r="E1301" s="5" t="s">
        <v>37</v>
      </c>
      <c r="F1301" s="5" t="s">
        <v>253</v>
      </c>
      <c r="G1301" s="5" t="s">
        <v>254</v>
      </c>
      <c r="H1301" s="5" t="s">
        <v>255</v>
      </c>
      <c r="I1301" s="5" t="s">
        <v>213</v>
      </c>
      <c r="J1301" s="5">
        <v>16.786125387544999</v>
      </c>
      <c r="K1301" s="5">
        <v>-96.904638673609995</v>
      </c>
      <c r="L1301" s="5" t="str">
        <f>HYPERLINK("https://maps.google.com/?q=16.786125387545063,-96.904638673609938", "🔗 Ver Mapa")</f>
        <v>🔗 Ver Mapa</v>
      </c>
    </row>
    <row r="1302" spans="1:12" ht="43.5" x14ac:dyDescent="0.35">
      <c r="A1302" s="6" t="s">
        <v>206</v>
      </c>
      <c r="B1302" s="6" t="s">
        <v>207</v>
      </c>
      <c r="C1302" s="6" t="s">
        <v>252</v>
      </c>
      <c r="D1302" s="6" t="s">
        <v>34</v>
      </c>
      <c r="E1302" s="6" t="s">
        <v>37</v>
      </c>
      <c r="F1302" s="6" t="s">
        <v>253</v>
      </c>
      <c r="G1302" s="6" t="s">
        <v>254</v>
      </c>
      <c r="H1302" s="6" t="s">
        <v>255</v>
      </c>
      <c r="I1302" s="6" t="s">
        <v>213</v>
      </c>
      <c r="J1302" s="6">
        <v>16.786162869999998</v>
      </c>
      <c r="K1302" s="6">
        <v>-96.929316929999999</v>
      </c>
      <c r="L1302" s="6" t="str">
        <f>HYPERLINK("https://maps.google.com/?q=16.78616287,-96.929316929999999", "🔗 Ver Mapa")</f>
        <v>🔗 Ver Mapa</v>
      </c>
    </row>
    <row r="1303" spans="1:12" ht="43.5" x14ac:dyDescent="0.35">
      <c r="A1303" s="5" t="s">
        <v>206</v>
      </c>
      <c r="B1303" s="5" t="s">
        <v>207</v>
      </c>
      <c r="C1303" s="5" t="s">
        <v>252</v>
      </c>
      <c r="D1303" s="5" t="s">
        <v>34</v>
      </c>
      <c r="E1303" s="5" t="s">
        <v>37</v>
      </c>
      <c r="F1303" s="5" t="s">
        <v>253</v>
      </c>
      <c r="G1303" s="5" t="s">
        <v>254</v>
      </c>
      <c r="H1303" s="5" t="s">
        <v>255</v>
      </c>
      <c r="I1303" s="5" t="s">
        <v>213</v>
      </c>
      <c r="J1303" s="5">
        <v>16.78623924</v>
      </c>
      <c r="K1303" s="5">
        <v>-96.928378559999999</v>
      </c>
      <c r="L1303" s="5" t="str">
        <f>HYPERLINK("https://maps.google.com/?q=16.78623924,-96.928378559999999", "🔗 Ver Mapa")</f>
        <v>🔗 Ver Mapa</v>
      </c>
    </row>
    <row r="1304" spans="1:12" ht="43.5" x14ac:dyDescent="0.35">
      <c r="A1304" s="6" t="s">
        <v>206</v>
      </c>
      <c r="B1304" s="6" t="s">
        <v>207</v>
      </c>
      <c r="C1304" s="6" t="s">
        <v>252</v>
      </c>
      <c r="D1304" s="6" t="s">
        <v>34</v>
      </c>
      <c r="E1304" s="6" t="s">
        <v>37</v>
      </c>
      <c r="F1304" s="6" t="s">
        <v>253</v>
      </c>
      <c r="G1304" s="6" t="s">
        <v>254</v>
      </c>
      <c r="H1304" s="6" t="s">
        <v>255</v>
      </c>
      <c r="I1304" s="6" t="s">
        <v>213</v>
      </c>
      <c r="J1304" s="6">
        <v>16.786362914836001</v>
      </c>
      <c r="K1304" s="6">
        <v>-96.903847311860005</v>
      </c>
      <c r="L1304" s="6" t="str">
        <f>HYPERLINK("https://maps.google.com/?q=16.786362914836236,-96.903847311859906", "🔗 Ver Mapa")</f>
        <v>🔗 Ver Mapa</v>
      </c>
    </row>
    <row r="1305" spans="1:12" ht="43.5" x14ac:dyDescent="0.35">
      <c r="A1305" s="5" t="s">
        <v>206</v>
      </c>
      <c r="B1305" s="5" t="s">
        <v>207</v>
      </c>
      <c r="C1305" s="5" t="s">
        <v>252</v>
      </c>
      <c r="D1305" s="5" t="s">
        <v>34</v>
      </c>
      <c r="E1305" s="5" t="s">
        <v>37</v>
      </c>
      <c r="F1305" s="5" t="s">
        <v>253</v>
      </c>
      <c r="G1305" s="5" t="s">
        <v>254</v>
      </c>
      <c r="H1305" s="5" t="s">
        <v>255</v>
      </c>
      <c r="I1305" s="5" t="s">
        <v>213</v>
      </c>
      <c r="J1305" s="5">
        <v>16.786402540000001</v>
      </c>
      <c r="K1305" s="5">
        <v>-96.927498299999996</v>
      </c>
      <c r="L1305" s="5" t="str">
        <f>HYPERLINK("https://maps.google.com/?q=16.78640254,-96.927498299999996", "🔗 Ver Mapa")</f>
        <v>🔗 Ver Mapa</v>
      </c>
    </row>
    <row r="1306" spans="1:12" ht="43.5" x14ac:dyDescent="0.35">
      <c r="A1306" s="6" t="s">
        <v>206</v>
      </c>
      <c r="B1306" s="6" t="s">
        <v>207</v>
      </c>
      <c r="C1306" s="6" t="s">
        <v>252</v>
      </c>
      <c r="D1306" s="6" t="s">
        <v>34</v>
      </c>
      <c r="E1306" s="6" t="s">
        <v>37</v>
      </c>
      <c r="F1306" s="6" t="s">
        <v>253</v>
      </c>
      <c r="G1306" s="6" t="s">
        <v>254</v>
      </c>
      <c r="H1306" s="6" t="s">
        <v>255</v>
      </c>
      <c r="I1306" s="6" t="s">
        <v>213</v>
      </c>
      <c r="J1306" s="6">
        <v>16.786482848037998</v>
      </c>
      <c r="K1306" s="6">
        <v>-96.907539578265002</v>
      </c>
      <c r="L1306" s="6" t="str">
        <f>HYPERLINK("https://maps.google.com/?q=16.78648284803826,-96.90753957826486", "🔗 Ver Mapa")</f>
        <v>🔗 Ver Mapa</v>
      </c>
    </row>
    <row r="1307" spans="1:12" ht="43.5" x14ac:dyDescent="0.35">
      <c r="A1307" s="5" t="s">
        <v>206</v>
      </c>
      <c r="B1307" s="5" t="s">
        <v>207</v>
      </c>
      <c r="C1307" s="5" t="s">
        <v>252</v>
      </c>
      <c r="D1307" s="5" t="s">
        <v>34</v>
      </c>
      <c r="E1307" s="5" t="s">
        <v>37</v>
      </c>
      <c r="F1307" s="5" t="s">
        <v>253</v>
      </c>
      <c r="G1307" s="5" t="s">
        <v>254</v>
      </c>
      <c r="H1307" s="5" t="s">
        <v>255</v>
      </c>
      <c r="I1307" s="5" t="s">
        <v>213</v>
      </c>
      <c r="J1307" s="5">
        <v>16.786516129999999</v>
      </c>
      <c r="K1307" s="5">
        <v>-96.898853759999994</v>
      </c>
      <c r="L1307" s="5" t="str">
        <f>HYPERLINK("https://maps.google.com/?q=16.78651613,-96.898853759999994", "🔗 Ver Mapa")</f>
        <v>🔗 Ver Mapa</v>
      </c>
    </row>
    <row r="1308" spans="1:12" ht="43.5" x14ac:dyDescent="0.35">
      <c r="A1308" s="6" t="s">
        <v>206</v>
      </c>
      <c r="B1308" s="6" t="s">
        <v>207</v>
      </c>
      <c r="C1308" s="6" t="s">
        <v>252</v>
      </c>
      <c r="D1308" s="6" t="s">
        <v>34</v>
      </c>
      <c r="E1308" s="6" t="s">
        <v>37</v>
      </c>
      <c r="F1308" s="6" t="s">
        <v>253</v>
      </c>
      <c r="G1308" s="6" t="s">
        <v>254</v>
      </c>
      <c r="H1308" s="6" t="s">
        <v>255</v>
      </c>
      <c r="I1308" s="6" t="s">
        <v>213</v>
      </c>
      <c r="J1308" s="6">
        <v>16.786534580000001</v>
      </c>
      <c r="K1308" s="6">
        <v>-96.897960069999996</v>
      </c>
      <c r="L1308" s="6" t="str">
        <f>HYPERLINK("https://maps.google.com/?q=16.78653458,-96.897960069999996", "🔗 Ver Mapa")</f>
        <v>🔗 Ver Mapa</v>
      </c>
    </row>
    <row r="1309" spans="1:12" ht="43.5" x14ac:dyDescent="0.35">
      <c r="A1309" s="5" t="s">
        <v>206</v>
      </c>
      <c r="B1309" s="5" t="s">
        <v>207</v>
      </c>
      <c r="C1309" s="5" t="s">
        <v>252</v>
      </c>
      <c r="D1309" s="5" t="s">
        <v>34</v>
      </c>
      <c r="E1309" s="5" t="s">
        <v>37</v>
      </c>
      <c r="F1309" s="5" t="s">
        <v>253</v>
      </c>
      <c r="G1309" s="5" t="s">
        <v>254</v>
      </c>
      <c r="H1309" s="5" t="s">
        <v>255</v>
      </c>
      <c r="I1309" s="5" t="s">
        <v>213</v>
      </c>
      <c r="J1309" s="5">
        <v>16.786623609999999</v>
      </c>
      <c r="K1309" s="5">
        <v>-96.908690669999999</v>
      </c>
      <c r="L1309" s="5" t="str">
        <f>HYPERLINK("https://maps.google.com/?q=16.78662361,-96.908690669999999", "🔗 Ver Mapa")</f>
        <v>🔗 Ver Mapa</v>
      </c>
    </row>
    <row r="1310" spans="1:12" ht="43.5" x14ac:dyDescent="0.35">
      <c r="A1310" s="6" t="s">
        <v>206</v>
      </c>
      <c r="B1310" s="6" t="s">
        <v>207</v>
      </c>
      <c r="C1310" s="6" t="s">
        <v>252</v>
      </c>
      <c r="D1310" s="6" t="s">
        <v>34</v>
      </c>
      <c r="E1310" s="6" t="s">
        <v>37</v>
      </c>
      <c r="F1310" s="6" t="s">
        <v>253</v>
      </c>
      <c r="G1310" s="6" t="s">
        <v>254</v>
      </c>
      <c r="H1310" s="6" t="s">
        <v>255</v>
      </c>
      <c r="I1310" s="6" t="s">
        <v>213</v>
      </c>
      <c r="J1310" s="6">
        <v>16.78662362</v>
      </c>
      <c r="K1310" s="6">
        <v>-96.908690669999999</v>
      </c>
      <c r="L1310" s="6" t="str">
        <f>HYPERLINK("https://maps.google.com/?q=16.78662362,-96.908690669999999", "🔗 Ver Mapa")</f>
        <v>🔗 Ver Mapa</v>
      </c>
    </row>
    <row r="1311" spans="1:12" ht="43.5" x14ac:dyDescent="0.35">
      <c r="A1311" s="5" t="s">
        <v>206</v>
      </c>
      <c r="B1311" s="5" t="s">
        <v>207</v>
      </c>
      <c r="C1311" s="5" t="s">
        <v>252</v>
      </c>
      <c r="D1311" s="5" t="s">
        <v>34</v>
      </c>
      <c r="E1311" s="5" t="s">
        <v>37</v>
      </c>
      <c r="F1311" s="5" t="s">
        <v>253</v>
      </c>
      <c r="G1311" s="5" t="s">
        <v>254</v>
      </c>
      <c r="H1311" s="5" t="s">
        <v>255</v>
      </c>
      <c r="I1311" s="5" t="s">
        <v>213</v>
      </c>
      <c r="J1311" s="5">
        <v>16.786630649999999</v>
      </c>
      <c r="K1311" s="5">
        <v>-96.89726134</v>
      </c>
      <c r="L1311" s="5" t="str">
        <f>HYPERLINK("https://maps.google.com/?q=16.78663065,-96.89726134", "🔗 Ver Mapa")</f>
        <v>🔗 Ver Mapa</v>
      </c>
    </row>
    <row r="1312" spans="1:12" ht="43.5" x14ac:dyDescent="0.35">
      <c r="A1312" s="6" t="s">
        <v>206</v>
      </c>
      <c r="B1312" s="6" t="s">
        <v>207</v>
      </c>
      <c r="C1312" s="6" t="s">
        <v>252</v>
      </c>
      <c r="D1312" s="6" t="s">
        <v>34</v>
      </c>
      <c r="E1312" s="6" t="s">
        <v>37</v>
      </c>
      <c r="F1312" s="6" t="s">
        <v>253</v>
      </c>
      <c r="G1312" s="6" t="s">
        <v>254</v>
      </c>
      <c r="H1312" s="6" t="s">
        <v>255</v>
      </c>
      <c r="I1312" s="6" t="s">
        <v>213</v>
      </c>
      <c r="J1312" s="6">
        <v>16.786648100000001</v>
      </c>
      <c r="K1312" s="6">
        <v>-96.909074320000002</v>
      </c>
      <c r="L1312" s="6" t="str">
        <f>HYPERLINK("https://maps.google.com/?q=16.7866481,-96.909074320000002", "🔗 Ver Mapa")</f>
        <v>🔗 Ver Mapa</v>
      </c>
    </row>
    <row r="1313" spans="1:12" ht="43.5" x14ac:dyDescent="0.35">
      <c r="A1313" s="5" t="s">
        <v>206</v>
      </c>
      <c r="B1313" s="5" t="s">
        <v>207</v>
      </c>
      <c r="C1313" s="5" t="s">
        <v>252</v>
      </c>
      <c r="D1313" s="5" t="s">
        <v>34</v>
      </c>
      <c r="E1313" s="5" t="s">
        <v>37</v>
      </c>
      <c r="F1313" s="5" t="s">
        <v>253</v>
      </c>
      <c r="G1313" s="5" t="s">
        <v>254</v>
      </c>
      <c r="H1313" s="5" t="s">
        <v>255</v>
      </c>
      <c r="I1313" s="5" t="s">
        <v>213</v>
      </c>
      <c r="J1313" s="5">
        <v>16.786678850000001</v>
      </c>
      <c r="K1313" s="5">
        <v>-96.90958827</v>
      </c>
      <c r="L1313" s="5" t="str">
        <f>HYPERLINK("https://maps.google.com/?q=16.78667885,-96.90958827", "🔗 Ver Mapa")</f>
        <v>🔗 Ver Mapa</v>
      </c>
    </row>
    <row r="1314" spans="1:12" ht="43.5" x14ac:dyDescent="0.35">
      <c r="A1314" s="6" t="s">
        <v>206</v>
      </c>
      <c r="B1314" s="6" t="s">
        <v>207</v>
      </c>
      <c r="C1314" s="6" t="s">
        <v>252</v>
      </c>
      <c r="D1314" s="6" t="s">
        <v>34</v>
      </c>
      <c r="E1314" s="6" t="s">
        <v>37</v>
      </c>
      <c r="F1314" s="6" t="s">
        <v>253</v>
      </c>
      <c r="G1314" s="6" t="s">
        <v>254</v>
      </c>
      <c r="H1314" s="6" t="s">
        <v>255</v>
      </c>
      <c r="I1314" s="6" t="s">
        <v>213</v>
      </c>
      <c r="J1314" s="6">
        <v>16.786714222303999</v>
      </c>
      <c r="K1314" s="6">
        <v>-96.903124689123004</v>
      </c>
      <c r="L1314" s="6" t="str">
        <f>HYPERLINK("https://maps.google.com/?q=16.786714222303587,-96.903124689123359", "🔗 Ver Mapa")</f>
        <v>🔗 Ver Mapa</v>
      </c>
    </row>
    <row r="1315" spans="1:12" ht="43.5" x14ac:dyDescent="0.35">
      <c r="A1315" s="5" t="s">
        <v>206</v>
      </c>
      <c r="B1315" s="5" t="s">
        <v>207</v>
      </c>
      <c r="C1315" s="5" t="s">
        <v>252</v>
      </c>
      <c r="D1315" s="5" t="s">
        <v>34</v>
      </c>
      <c r="E1315" s="5" t="s">
        <v>37</v>
      </c>
      <c r="F1315" s="5" t="s">
        <v>253</v>
      </c>
      <c r="G1315" s="5" t="s">
        <v>254</v>
      </c>
      <c r="H1315" s="5" t="s">
        <v>255</v>
      </c>
      <c r="I1315" s="5" t="s">
        <v>213</v>
      </c>
      <c r="J1315" s="5">
        <v>16.786746730000001</v>
      </c>
      <c r="K1315" s="5">
        <v>-96.899830440000002</v>
      </c>
      <c r="L1315" s="5" t="str">
        <f>HYPERLINK("https://maps.google.com/?q=16.78674673,-96.899830440000002", "🔗 Ver Mapa")</f>
        <v>🔗 Ver Mapa</v>
      </c>
    </row>
    <row r="1316" spans="1:12" ht="43.5" x14ac:dyDescent="0.35">
      <c r="A1316" s="6" t="s">
        <v>206</v>
      </c>
      <c r="B1316" s="6" t="s">
        <v>207</v>
      </c>
      <c r="C1316" s="6" t="s">
        <v>252</v>
      </c>
      <c r="D1316" s="6" t="s">
        <v>34</v>
      </c>
      <c r="E1316" s="6" t="s">
        <v>37</v>
      </c>
      <c r="F1316" s="6" t="s">
        <v>253</v>
      </c>
      <c r="G1316" s="6" t="s">
        <v>254</v>
      </c>
      <c r="H1316" s="6" t="s">
        <v>255</v>
      </c>
      <c r="I1316" s="6" t="s">
        <v>213</v>
      </c>
      <c r="J1316" s="6">
        <v>16.78678008</v>
      </c>
      <c r="K1316" s="6">
        <v>-96.926521070000007</v>
      </c>
      <c r="L1316" s="6" t="str">
        <f>HYPERLINK("https://maps.google.com/?q=16.78678008,-96.926521070000007", "🔗 Ver Mapa")</f>
        <v>🔗 Ver Mapa</v>
      </c>
    </row>
    <row r="1317" spans="1:12" ht="43.5" x14ac:dyDescent="0.35">
      <c r="A1317" s="5" t="s">
        <v>206</v>
      </c>
      <c r="B1317" s="5" t="s">
        <v>207</v>
      </c>
      <c r="C1317" s="5" t="s">
        <v>252</v>
      </c>
      <c r="D1317" s="5" t="s">
        <v>34</v>
      </c>
      <c r="E1317" s="5" t="s">
        <v>37</v>
      </c>
      <c r="F1317" s="5" t="s">
        <v>253</v>
      </c>
      <c r="G1317" s="5" t="s">
        <v>254</v>
      </c>
      <c r="H1317" s="5" t="s">
        <v>255</v>
      </c>
      <c r="I1317" s="5" t="s">
        <v>213</v>
      </c>
      <c r="J1317" s="5">
        <v>16.786796800000001</v>
      </c>
      <c r="K1317" s="5">
        <v>-96.898217979999998</v>
      </c>
      <c r="L1317" s="5" t="str">
        <f>HYPERLINK("https://maps.google.com/?q=16.7867968,-96.898217979999998", "🔗 Ver Mapa")</f>
        <v>🔗 Ver Mapa</v>
      </c>
    </row>
    <row r="1318" spans="1:12" ht="43.5" x14ac:dyDescent="0.35">
      <c r="A1318" s="6" t="s">
        <v>206</v>
      </c>
      <c r="B1318" s="6" t="s">
        <v>207</v>
      </c>
      <c r="C1318" s="6" t="s">
        <v>252</v>
      </c>
      <c r="D1318" s="6" t="s">
        <v>34</v>
      </c>
      <c r="E1318" s="6" t="s">
        <v>37</v>
      </c>
      <c r="F1318" s="6" t="s">
        <v>253</v>
      </c>
      <c r="G1318" s="6" t="s">
        <v>254</v>
      </c>
      <c r="H1318" s="6" t="s">
        <v>255</v>
      </c>
      <c r="I1318" s="6" t="s">
        <v>213</v>
      </c>
      <c r="J1318" s="6">
        <v>16.786826789999999</v>
      </c>
      <c r="K1318" s="6">
        <v>-96.898937259999997</v>
      </c>
      <c r="L1318" s="6" t="str">
        <f>HYPERLINK("https://maps.google.com/?q=16.78682679,-96.898937259999997", "🔗 Ver Mapa")</f>
        <v>🔗 Ver Mapa</v>
      </c>
    </row>
    <row r="1319" spans="1:12" ht="43.5" x14ac:dyDescent="0.35">
      <c r="A1319" s="5" t="s">
        <v>206</v>
      </c>
      <c r="B1319" s="5" t="s">
        <v>207</v>
      </c>
      <c r="C1319" s="5" t="s">
        <v>252</v>
      </c>
      <c r="D1319" s="5" t="s">
        <v>34</v>
      </c>
      <c r="E1319" s="5" t="s">
        <v>37</v>
      </c>
      <c r="F1319" s="5" t="s">
        <v>253</v>
      </c>
      <c r="G1319" s="5" t="s">
        <v>254</v>
      </c>
      <c r="H1319" s="5" t="s">
        <v>255</v>
      </c>
      <c r="I1319" s="5" t="s">
        <v>213</v>
      </c>
      <c r="J1319" s="5">
        <v>16.786837420000001</v>
      </c>
      <c r="K1319" s="5">
        <v>-96.896933450000006</v>
      </c>
      <c r="L1319" s="5" t="str">
        <f>HYPERLINK("https://maps.google.com/?q=16.78683742,-96.896933450000006", "🔗 Ver Mapa")</f>
        <v>🔗 Ver Mapa</v>
      </c>
    </row>
    <row r="1320" spans="1:12" ht="43.5" x14ac:dyDescent="0.35">
      <c r="A1320" s="6" t="s">
        <v>206</v>
      </c>
      <c r="B1320" s="6" t="s">
        <v>207</v>
      </c>
      <c r="C1320" s="6" t="s">
        <v>252</v>
      </c>
      <c r="D1320" s="6" t="s">
        <v>34</v>
      </c>
      <c r="E1320" s="6" t="s">
        <v>37</v>
      </c>
      <c r="F1320" s="6" t="s">
        <v>253</v>
      </c>
      <c r="G1320" s="6" t="s">
        <v>254</v>
      </c>
      <c r="H1320" s="6" t="s">
        <v>255</v>
      </c>
      <c r="I1320" s="6" t="s">
        <v>213</v>
      </c>
      <c r="J1320" s="6">
        <v>16.78684732</v>
      </c>
      <c r="K1320" s="6">
        <v>-96.910472780000006</v>
      </c>
      <c r="L1320" s="6" t="str">
        <f>HYPERLINK("https://maps.google.com/?q=16.78684732,-96.910472780000006", "🔗 Ver Mapa")</f>
        <v>🔗 Ver Mapa</v>
      </c>
    </row>
    <row r="1321" spans="1:12" ht="43.5" x14ac:dyDescent="0.35">
      <c r="A1321" s="5" t="s">
        <v>206</v>
      </c>
      <c r="B1321" s="5" t="s">
        <v>207</v>
      </c>
      <c r="C1321" s="5" t="s">
        <v>252</v>
      </c>
      <c r="D1321" s="5" t="s">
        <v>34</v>
      </c>
      <c r="E1321" s="5" t="s">
        <v>37</v>
      </c>
      <c r="F1321" s="5" t="s">
        <v>253</v>
      </c>
      <c r="G1321" s="5" t="s">
        <v>254</v>
      </c>
      <c r="H1321" s="5" t="s">
        <v>255</v>
      </c>
      <c r="I1321" s="5" t="s">
        <v>213</v>
      </c>
      <c r="J1321" s="5">
        <v>16.786878829999999</v>
      </c>
      <c r="K1321" s="5">
        <v>-96.902116280000001</v>
      </c>
      <c r="L1321" s="5" t="str">
        <f>HYPERLINK("https://maps.google.com/?q=16.78687883,-96.902116280000001", "🔗 Ver Mapa")</f>
        <v>🔗 Ver Mapa</v>
      </c>
    </row>
    <row r="1322" spans="1:12" ht="43.5" x14ac:dyDescent="0.35">
      <c r="A1322" s="6" t="s">
        <v>206</v>
      </c>
      <c r="B1322" s="6" t="s">
        <v>207</v>
      </c>
      <c r="C1322" s="6" t="s">
        <v>252</v>
      </c>
      <c r="D1322" s="6" t="s">
        <v>34</v>
      </c>
      <c r="E1322" s="6" t="s">
        <v>37</v>
      </c>
      <c r="F1322" s="6" t="s">
        <v>253</v>
      </c>
      <c r="G1322" s="6" t="s">
        <v>254</v>
      </c>
      <c r="H1322" s="6" t="s">
        <v>255</v>
      </c>
      <c r="I1322" s="6" t="s">
        <v>213</v>
      </c>
      <c r="J1322" s="6">
        <v>16.786878831588002</v>
      </c>
      <c r="K1322" s="6">
        <v>-96.902116276846002</v>
      </c>
      <c r="L1322" s="6" t="str">
        <f>HYPERLINK("https://maps.google.com/?q=16.786878831588073,-96.902116276845518", "🔗 Ver Mapa")</f>
        <v>🔗 Ver Mapa</v>
      </c>
    </row>
    <row r="1323" spans="1:12" ht="43.5" x14ac:dyDescent="0.35">
      <c r="A1323" s="5" t="s">
        <v>206</v>
      </c>
      <c r="B1323" s="5" t="s">
        <v>207</v>
      </c>
      <c r="C1323" s="5" t="s">
        <v>252</v>
      </c>
      <c r="D1323" s="5" t="s">
        <v>34</v>
      </c>
      <c r="E1323" s="5" t="s">
        <v>37</v>
      </c>
      <c r="F1323" s="5" t="s">
        <v>253</v>
      </c>
      <c r="G1323" s="5" t="s">
        <v>254</v>
      </c>
      <c r="H1323" s="5" t="s">
        <v>255</v>
      </c>
      <c r="I1323" s="5" t="s">
        <v>213</v>
      </c>
      <c r="J1323" s="5">
        <v>16.786882731443001</v>
      </c>
      <c r="K1323" s="5">
        <v>-96.902620451043006</v>
      </c>
      <c r="L1323" s="5" t="str">
        <f>HYPERLINK("https://maps.google.com/?q=16.786882731443246,-96.902620451043461", "🔗 Ver Mapa")</f>
        <v>🔗 Ver Mapa</v>
      </c>
    </row>
    <row r="1324" spans="1:12" ht="43.5" x14ac:dyDescent="0.35">
      <c r="A1324" s="6" t="s">
        <v>206</v>
      </c>
      <c r="B1324" s="6" t="s">
        <v>207</v>
      </c>
      <c r="C1324" s="6" t="s">
        <v>252</v>
      </c>
      <c r="D1324" s="6" t="s">
        <v>34</v>
      </c>
      <c r="E1324" s="6" t="s">
        <v>37</v>
      </c>
      <c r="F1324" s="6" t="s">
        <v>253</v>
      </c>
      <c r="G1324" s="6" t="s">
        <v>254</v>
      </c>
      <c r="H1324" s="6" t="s">
        <v>255</v>
      </c>
      <c r="I1324" s="6" t="s">
        <v>213</v>
      </c>
      <c r="J1324" s="6">
        <v>16.78688378</v>
      </c>
      <c r="K1324" s="6">
        <v>-96.898864219999993</v>
      </c>
      <c r="L1324" s="6" t="str">
        <f>HYPERLINK("https://maps.google.com/?q=16.78688378,-96.898864219999993", "🔗 Ver Mapa")</f>
        <v>🔗 Ver Mapa</v>
      </c>
    </row>
    <row r="1325" spans="1:12" ht="43.5" x14ac:dyDescent="0.35">
      <c r="A1325" s="5" t="s">
        <v>206</v>
      </c>
      <c r="B1325" s="5" t="s">
        <v>207</v>
      </c>
      <c r="C1325" s="5" t="s">
        <v>252</v>
      </c>
      <c r="D1325" s="5" t="s">
        <v>34</v>
      </c>
      <c r="E1325" s="5" t="s">
        <v>37</v>
      </c>
      <c r="F1325" s="5" t="s">
        <v>253</v>
      </c>
      <c r="G1325" s="5" t="s">
        <v>254</v>
      </c>
      <c r="H1325" s="5" t="s">
        <v>255</v>
      </c>
      <c r="I1325" s="5" t="s">
        <v>213</v>
      </c>
      <c r="J1325" s="5">
        <v>16.7868967</v>
      </c>
      <c r="K1325" s="5">
        <v>-96.899251250000006</v>
      </c>
      <c r="L1325" s="5" t="str">
        <f>HYPERLINK("https://maps.google.com/?q=16.7868967,-96.899251250000006", "🔗 Ver Mapa")</f>
        <v>🔗 Ver Mapa</v>
      </c>
    </row>
    <row r="1326" spans="1:12" ht="43.5" x14ac:dyDescent="0.35">
      <c r="A1326" s="6" t="s">
        <v>206</v>
      </c>
      <c r="B1326" s="6" t="s">
        <v>207</v>
      </c>
      <c r="C1326" s="6" t="s">
        <v>252</v>
      </c>
      <c r="D1326" s="6" t="s">
        <v>34</v>
      </c>
      <c r="E1326" s="6" t="s">
        <v>37</v>
      </c>
      <c r="F1326" s="6" t="s">
        <v>253</v>
      </c>
      <c r="G1326" s="6" t="s">
        <v>254</v>
      </c>
      <c r="H1326" s="6" t="s">
        <v>255</v>
      </c>
      <c r="I1326" s="6" t="s">
        <v>213</v>
      </c>
      <c r="J1326" s="6">
        <v>16.78691066</v>
      </c>
      <c r="K1326" s="6">
        <v>-96.898733219999997</v>
      </c>
      <c r="L1326" s="6" t="str">
        <f>HYPERLINK("https://maps.google.com/?q=16.78691066,-96.898733219999997", "🔗 Ver Mapa")</f>
        <v>🔗 Ver Mapa</v>
      </c>
    </row>
    <row r="1327" spans="1:12" ht="43.5" x14ac:dyDescent="0.35">
      <c r="A1327" s="5" t="s">
        <v>206</v>
      </c>
      <c r="B1327" s="5" t="s">
        <v>207</v>
      </c>
      <c r="C1327" s="5" t="s">
        <v>252</v>
      </c>
      <c r="D1327" s="5" t="s">
        <v>34</v>
      </c>
      <c r="E1327" s="5" t="s">
        <v>37</v>
      </c>
      <c r="F1327" s="5" t="s">
        <v>253</v>
      </c>
      <c r="G1327" s="5" t="s">
        <v>254</v>
      </c>
      <c r="H1327" s="5" t="s">
        <v>255</v>
      </c>
      <c r="I1327" s="5" t="s">
        <v>213</v>
      </c>
      <c r="J1327" s="5">
        <v>16.786937510000001</v>
      </c>
      <c r="K1327" s="5">
        <v>-96.911462099999994</v>
      </c>
      <c r="L1327" s="5" t="str">
        <f>HYPERLINK("https://maps.google.com/?q=16.78693751,-96.911462099999994", "🔗 Ver Mapa")</f>
        <v>🔗 Ver Mapa</v>
      </c>
    </row>
    <row r="1328" spans="1:12" ht="43.5" x14ac:dyDescent="0.35">
      <c r="A1328" s="6" t="s">
        <v>206</v>
      </c>
      <c r="B1328" s="6" t="s">
        <v>207</v>
      </c>
      <c r="C1328" s="6" t="s">
        <v>252</v>
      </c>
      <c r="D1328" s="6" t="s">
        <v>34</v>
      </c>
      <c r="E1328" s="6" t="s">
        <v>37</v>
      </c>
      <c r="F1328" s="6" t="s">
        <v>253</v>
      </c>
      <c r="G1328" s="6" t="s">
        <v>254</v>
      </c>
      <c r="H1328" s="6" t="s">
        <v>255</v>
      </c>
      <c r="I1328" s="6" t="s">
        <v>213</v>
      </c>
      <c r="J1328" s="6">
        <v>16.78696283</v>
      </c>
      <c r="K1328" s="6">
        <v>-96.925685830000006</v>
      </c>
      <c r="L1328" s="6" t="str">
        <f>HYPERLINK("https://maps.google.com/?q=16.78696283,-96.925685830000006", "🔗 Ver Mapa")</f>
        <v>🔗 Ver Mapa</v>
      </c>
    </row>
    <row r="1329" spans="1:12" ht="43.5" x14ac:dyDescent="0.35">
      <c r="A1329" s="5" t="s">
        <v>206</v>
      </c>
      <c r="B1329" s="5" t="s">
        <v>207</v>
      </c>
      <c r="C1329" s="5" t="s">
        <v>252</v>
      </c>
      <c r="D1329" s="5" t="s">
        <v>34</v>
      </c>
      <c r="E1329" s="5" t="s">
        <v>37</v>
      </c>
      <c r="F1329" s="5" t="s">
        <v>253</v>
      </c>
      <c r="G1329" s="5" t="s">
        <v>254</v>
      </c>
      <c r="H1329" s="5" t="s">
        <v>255</v>
      </c>
      <c r="I1329" s="5" t="s">
        <v>213</v>
      </c>
      <c r="J1329" s="5">
        <v>16.787000710000001</v>
      </c>
      <c r="K1329" s="5">
        <v>-96.899859190000001</v>
      </c>
      <c r="L1329" s="5" t="str">
        <f>HYPERLINK("https://maps.google.com/?q=16.78700071,-96.899859190000001", "🔗 Ver Mapa")</f>
        <v>🔗 Ver Mapa</v>
      </c>
    </row>
    <row r="1330" spans="1:12" ht="43.5" x14ac:dyDescent="0.35">
      <c r="A1330" s="6" t="s">
        <v>206</v>
      </c>
      <c r="B1330" s="6" t="s">
        <v>207</v>
      </c>
      <c r="C1330" s="6" t="s">
        <v>252</v>
      </c>
      <c r="D1330" s="6" t="s">
        <v>34</v>
      </c>
      <c r="E1330" s="6" t="s">
        <v>37</v>
      </c>
      <c r="F1330" s="6" t="s">
        <v>253</v>
      </c>
      <c r="G1330" s="6" t="s">
        <v>254</v>
      </c>
      <c r="H1330" s="6" t="s">
        <v>255</v>
      </c>
      <c r="I1330" s="6" t="s">
        <v>213</v>
      </c>
      <c r="J1330" s="6">
        <v>16.787022090000001</v>
      </c>
      <c r="K1330" s="6">
        <v>-96.898659640000005</v>
      </c>
      <c r="L1330" s="6" t="str">
        <f>HYPERLINK("https://maps.google.com/?q=16.78702209,-96.898659640000005", "🔗 Ver Mapa")</f>
        <v>🔗 Ver Mapa</v>
      </c>
    </row>
    <row r="1331" spans="1:12" ht="43.5" x14ac:dyDescent="0.35">
      <c r="A1331" s="5" t="s">
        <v>206</v>
      </c>
      <c r="B1331" s="5" t="s">
        <v>207</v>
      </c>
      <c r="C1331" s="5" t="s">
        <v>252</v>
      </c>
      <c r="D1331" s="5" t="s">
        <v>34</v>
      </c>
      <c r="E1331" s="5" t="s">
        <v>37</v>
      </c>
      <c r="F1331" s="5" t="s">
        <v>253</v>
      </c>
      <c r="G1331" s="5" t="s">
        <v>254</v>
      </c>
      <c r="H1331" s="5" t="s">
        <v>255</v>
      </c>
      <c r="I1331" s="5" t="s">
        <v>213</v>
      </c>
      <c r="J1331" s="5">
        <v>16.78702848</v>
      </c>
      <c r="K1331" s="5">
        <v>-96.899447859999995</v>
      </c>
      <c r="L1331" s="5" t="str">
        <f>HYPERLINK("https://maps.google.com/?q=16.78702848,-96.899447859999995", "🔗 Ver Mapa")</f>
        <v>🔗 Ver Mapa</v>
      </c>
    </row>
    <row r="1332" spans="1:12" ht="43.5" x14ac:dyDescent="0.35">
      <c r="A1332" s="6" t="s">
        <v>206</v>
      </c>
      <c r="B1332" s="6" t="s">
        <v>207</v>
      </c>
      <c r="C1332" s="6" t="s">
        <v>252</v>
      </c>
      <c r="D1332" s="6" t="s">
        <v>34</v>
      </c>
      <c r="E1332" s="6" t="s">
        <v>37</v>
      </c>
      <c r="F1332" s="6" t="s">
        <v>253</v>
      </c>
      <c r="G1332" s="6" t="s">
        <v>254</v>
      </c>
      <c r="H1332" s="6" t="s">
        <v>255</v>
      </c>
      <c r="I1332" s="6" t="s">
        <v>213</v>
      </c>
      <c r="J1332" s="6">
        <v>16.787067499999999</v>
      </c>
      <c r="K1332" s="6">
        <v>-96.91213071</v>
      </c>
      <c r="L1332" s="6" t="str">
        <f>HYPERLINK("https://maps.google.com/?q=16.7870675,-96.91213071", "🔗 Ver Mapa")</f>
        <v>🔗 Ver Mapa</v>
      </c>
    </row>
    <row r="1333" spans="1:12" ht="43.5" x14ac:dyDescent="0.35">
      <c r="A1333" s="5" t="s">
        <v>206</v>
      </c>
      <c r="B1333" s="5" t="s">
        <v>207</v>
      </c>
      <c r="C1333" s="5" t="s">
        <v>252</v>
      </c>
      <c r="D1333" s="5" t="s">
        <v>34</v>
      </c>
      <c r="E1333" s="5" t="s">
        <v>37</v>
      </c>
      <c r="F1333" s="5" t="s">
        <v>253</v>
      </c>
      <c r="G1333" s="5" t="s">
        <v>254</v>
      </c>
      <c r="H1333" s="5" t="s">
        <v>255</v>
      </c>
      <c r="I1333" s="5" t="s">
        <v>213</v>
      </c>
      <c r="J1333" s="5">
        <v>16.787068189999999</v>
      </c>
      <c r="K1333" s="5">
        <v>-96.908059750000007</v>
      </c>
      <c r="L1333" s="5" t="str">
        <f>HYPERLINK("https://maps.google.com/?q=16.78706819,-96.908059750000007", "🔗 Ver Mapa")</f>
        <v>🔗 Ver Mapa</v>
      </c>
    </row>
    <row r="1334" spans="1:12" ht="43.5" x14ac:dyDescent="0.35">
      <c r="A1334" s="6" t="s">
        <v>206</v>
      </c>
      <c r="B1334" s="6" t="s">
        <v>207</v>
      </c>
      <c r="C1334" s="6" t="s">
        <v>252</v>
      </c>
      <c r="D1334" s="6" t="s">
        <v>34</v>
      </c>
      <c r="E1334" s="6" t="s">
        <v>37</v>
      </c>
      <c r="F1334" s="6" t="s">
        <v>253</v>
      </c>
      <c r="G1334" s="6" t="s">
        <v>254</v>
      </c>
      <c r="H1334" s="6" t="s">
        <v>255</v>
      </c>
      <c r="I1334" s="6" t="s">
        <v>213</v>
      </c>
      <c r="J1334" s="6">
        <v>16.787157140000001</v>
      </c>
      <c r="K1334" s="6">
        <v>-96.898659309999999</v>
      </c>
      <c r="L1334" s="6" t="str">
        <f>HYPERLINK("https://maps.google.com/?q=16.78715714,-96.898659309999999", "🔗 Ver Mapa")</f>
        <v>🔗 Ver Mapa</v>
      </c>
    </row>
    <row r="1335" spans="1:12" ht="43.5" x14ac:dyDescent="0.35">
      <c r="A1335" s="5" t="s">
        <v>206</v>
      </c>
      <c r="B1335" s="5" t="s">
        <v>207</v>
      </c>
      <c r="C1335" s="5" t="s">
        <v>252</v>
      </c>
      <c r="D1335" s="5" t="s">
        <v>34</v>
      </c>
      <c r="E1335" s="5" t="s">
        <v>37</v>
      </c>
      <c r="F1335" s="5" t="s">
        <v>253</v>
      </c>
      <c r="G1335" s="5" t="s">
        <v>254</v>
      </c>
      <c r="H1335" s="5" t="s">
        <v>255</v>
      </c>
      <c r="I1335" s="5" t="s">
        <v>213</v>
      </c>
      <c r="J1335" s="5">
        <v>16.787197549999998</v>
      </c>
      <c r="K1335" s="5">
        <v>-96.900404600000002</v>
      </c>
      <c r="L1335" s="5" t="str">
        <f>HYPERLINK("https://maps.google.com/?q=16.78719755,-96.900404600000002", "🔗 Ver Mapa")</f>
        <v>🔗 Ver Mapa</v>
      </c>
    </row>
    <row r="1336" spans="1:12" ht="43.5" x14ac:dyDescent="0.35">
      <c r="A1336" s="6" t="s">
        <v>206</v>
      </c>
      <c r="B1336" s="6" t="s">
        <v>207</v>
      </c>
      <c r="C1336" s="6" t="s">
        <v>252</v>
      </c>
      <c r="D1336" s="6" t="s">
        <v>34</v>
      </c>
      <c r="E1336" s="6" t="s">
        <v>37</v>
      </c>
      <c r="F1336" s="6" t="s">
        <v>253</v>
      </c>
      <c r="G1336" s="6" t="s">
        <v>254</v>
      </c>
      <c r="H1336" s="6" t="s">
        <v>255</v>
      </c>
      <c r="I1336" s="6" t="s">
        <v>213</v>
      </c>
      <c r="J1336" s="6">
        <v>16.787205660000001</v>
      </c>
      <c r="K1336" s="6">
        <v>-96.896978989999994</v>
      </c>
      <c r="L1336" s="6" t="str">
        <f>HYPERLINK("https://maps.google.com/?q=16.78720566,-96.896978989999994", "🔗 Ver Mapa")</f>
        <v>🔗 Ver Mapa</v>
      </c>
    </row>
    <row r="1337" spans="1:12" ht="43.5" x14ac:dyDescent="0.35">
      <c r="A1337" s="5" t="s">
        <v>206</v>
      </c>
      <c r="B1337" s="5" t="s">
        <v>207</v>
      </c>
      <c r="C1337" s="5" t="s">
        <v>252</v>
      </c>
      <c r="D1337" s="5" t="s">
        <v>34</v>
      </c>
      <c r="E1337" s="5" t="s">
        <v>37</v>
      </c>
      <c r="F1337" s="5" t="s">
        <v>253</v>
      </c>
      <c r="G1337" s="5" t="s">
        <v>254</v>
      </c>
      <c r="H1337" s="5" t="s">
        <v>255</v>
      </c>
      <c r="I1337" s="5" t="s">
        <v>213</v>
      </c>
      <c r="J1337" s="5">
        <v>16.787213829999999</v>
      </c>
      <c r="K1337" s="5">
        <v>-96.899756640000007</v>
      </c>
      <c r="L1337" s="5" t="str">
        <f>HYPERLINK("https://maps.google.com/?q=16.78721383,-96.899756640000007", "🔗 Ver Mapa")</f>
        <v>🔗 Ver Mapa</v>
      </c>
    </row>
    <row r="1338" spans="1:12" ht="43.5" x14ac:dyDescent="0.35">
      <c r="A1338" s="6" t="s">
        <v>206</v>
      </c>
      <c r="B1338" s="6" t="s">
        <v>207</v>
      </c>
      <c r="C1338" s="6" t="s">
        <v>252</v>
      </c>
      <c r="D1338" s="6" t="s">
        <v>34</v>
      </c>
      <c r="E1338" s="6" t="s">
        <v>37</v>
      </c>
      <c r="F1338" s="6" t="s">
        <v>253</v>
      </c>
      <c r="G1338" s="6" t="s">
        <v>254</v>
      </c>
      <c r="H1338" s="6" t="s">
        <v>255</v>
      </c>
      <c r="I1338" s="6" t="s">
        <v>213</v>
      </c>
      <c r="J1338" s="6">
        <v>16.787276649999999</v>
      </c>
      <c r="K1338" s="6">
        <v>-96.912641519999994</v>
      </c>
      <c r="L1338" s="6" t="str">
        <f>HYPERLINK("https://maps.google.com/?q=16.78727665,-96.912641519999994", "🔗 Ver Mapa")</f>
        <v>🔗 Ver Mapa</v>
      </c>
    </row>
    <row r="1339" spans="1:12" ht="43.5" x14ac:dyDescent="0.35">
      <c r="A1339" s="5" t="s">
        <v>206</v>
      </c>
      <c r="B1339" s="5" t="s">
        <v>207</v>
      </c>
      <c r="C1339" s="5" t="s">
        <v>252</v>
      </c>
      <c r="D1339" s="5" t="s">
        <v>34</v>
      </c>
      <c r="E1339" s="5" t="s">
        <v>37</v>
      </c>
      <c r="F1339" s="5" t="s">
        <v>253</v>
      </c>
      <c r="G1339" s="5" t="s">
        <v>254</v>
      </c>
      <c r="H1339" s="5" t="s">
        <v>255</v>
      </c>
      <c r="I1339" s="5" t="s">
        <v>213</v>
      </c>
      <c r="J1339" s="5">
        <v>16.787287280000001</v>
      </c>
      <c r="K1339" s="5">
        <v>-96.914485310000003</v>
      </c>
      <c r="L1339" s="5" t="str">
        <f>HYPERLINK("https://maps.google.com/?q=16.78728728,-96.914485310000003", "🔗 Ver Mapa")</f>
        <v>🔗 Ver Mapa</v>
      </c>
    </row>
    <row r="1340" spans="1:12" ht="43.5" x14ac:dyDescent="0.35">
      <c r="A1340" s="6" t="s">
        <v>206</v>
      </c>
      <c r="B1340" s="6" t="s">
        <v>207</v>
      </c>
      <c r="C1340" s="6" t="s">
        <v>252</v>
      </c>
      <c r="D1340" s="6" t="s">
        <v>34</v>
      </c>
      <c r="E1340" s="6" t="s">
        <v>37</v>
      </c>
      <c r="F1340" s="6" t="s">
        <v>253</v>
      </c>
      <c r="G1340" s="6" t="s">
        <v>254</v>
      </c>
      <c r="H1340" s="6" t="s">
        <v>255</v>
      </c>
      <c r="I1340" s="6" t="s">
        <v>213</v>
      </c>
      <c r="J1340" s="6">
        <v>16.787291920000001</v>
      </c>
      <c r="K1340" s="6">
        <v>-96.924855379999997</v>
      </c>
      <c r="L1340" s="6" t="str">
        <f>HYPERLINK("https://maps.google.com/?q=16.78729192,-96.924855379999997", "🔗 Ver Mapa")</f>
        <v>🔗 Ver Mapa</v>
      </c>
    </row>
    <row r="1341" spans="1:12" ht="43.5" x14ac:dyDescent="0.35">
      <c r="A1341" s="5" t="s">
        <v>206</v>
      </c>
      <c r="B1341" s="5" t="s">
        <v>207</v>
      </c>
      <c r="C1341" s="5" t="s">
        <v>252</v>
      </c>
      <c r="D1341" s="5" t="s">
        <v>34</v>
      </c>
      <c r="E1341" s="5" t="s">
        <v>37</v>
      </c>
      <c r="F1341" s="5" t="s">
        <v>253</v>
      </c>
      <c r="G1341" s="5" t="s">
        <v>254</v>
      </c>
      <c r="H1341" s="5" t="s">
        <v>255</v>
      </c>
      <c r="I1341" s="5" t="s">
        <v>213</v>
      </c>
      <c r="J1341" s="5">
        <v>16.787322920000001</v>
      </c>
      <c r="K1341" s="5">
        <v>-96.895621210000002</v>
      </c>
      <c r="L1341" s="5" t="str">
        <f>HYPERLINK("https://maps.google.com/?q=16.78732292,-96.895621210000002", "🔗 Ver Mapa")</f>
        <v>🔗 Ver Mapa</v>
      </c>
    </row>
    <row r="1342" spans="1:12" ht="43.5" x14ac:dyDescent="0.35">
      <c r="A1342" s="6" t="s">
        <v>206</v>
      </c>
      <c r="B1342" s="6" t="s">
        <v>207</v>
      </c>
      <c r="C1342" s="6" t="s">
        <v>252</v>
      </c>
      <c r="D1342" s="6" t="s">
        <v>34</v>
      </c>
      <c r="E1342" s="6" t="s">
        <v>37</v>
      </c>
      <c r="F1342" s="6" t="s">
        <v>253</v>
      </c>
      <c r="G1342" s="6" t="s">
        <v>254</v>
      </c>
      <c r="H1342" s="6" t="s">
        <v>255</v>
      </c>
      <c r="I1342" s="6" t="s">
        <v>213</v>
      </c>
      <c r="J1342" s="6">
        <v>16.787328779999999</v>
      </c>
      <c r="K1342" s="6">
        <v>-96.900291899999999</v>
      </c>
      <c r="L1342" s="6" t="str">
        <f>HYPERLINK("https://maps.google.com/?q=16.78732878,-96.900291899999999", "🔗 Ver Mapa")</f>
        <v>🔗 Ver Mapa</v>
      </c>
    </row>
    <row r="1343" spans="1:12" ht="43.5" x14ac:dyDescent="0.35">
      <c r="A1343" s="5" t="s">
        <v>206</v>
      </c>
      <c r="B1343" s="5" t="s">
        <v>207</v>
      </c>
      <c r="C1343" s="5" t="s">
        <v>252</v>
      </c>
      <c r="D1343" s="5" t="s">
        <v>34</v>
      </c>
      <c r="E1343" s="5" t="s">
        <v>37</v>
      </c>
      <c r="F1343" s="5" t="s">
        <v>253</v>
      </c>
      <c r="G1343" s="5" t="s">
        <v>254</v>
      </c>
      <c r="H1343" s="5" t="s">
        <v>255</v>
      </c>
      <c r="I1343" s="5" t="s">
        <v>213</v>
      </c>
      <c r="J1343" s="5">
        <v>16.787342800000001</v>
      </c>
      <c r="K1343" s="5">
        <v>-96.913852250000005</v>
      </c>
      <c r="L1343" s="5" t="str">
        <f>HYPERLINK("https://maps.google.com/?q=16.7873428,-96.913852250000005", "🔗 Ver Mapa")</f>
        <v>🔗 Ver Mapa</v>
      </c>
    </row>
    <row r="1344" spans="1:12" ht="43.5" x14ac:dyDescent="0.35">
      <c r="A1344" s="6" t="s">
        <v>206</v>
      </c>
      <c r="B1344" s="6" t="s">
        <v>207</v>
      </c>
      <c r="C1344" s="6" t="s">
        <v>252</v>
      </c>
      <c r="D1344" s="6" t="s">
        <v>34</v>
      </c>
      <c r="E1344" s="6" t="s">
        <v>37</v>
      </c>
      <c r="F1344" s="6" t="s">
        <v>253</v>
      </c>
      <c r="G1344" s="6" t="s">
        <v>254</v>
      </c>
      <c r="H1344" s="6" t="s">
        <v>255</v>
      </c>
      <c r="I1344" s="6" t="s">
        <v>213</v>
      </c>
      <c r="J1344" s="6">
        <v>16.78735854</v>
      </c>
      <c r="K1344" s="6">
        <v>-96.898687480000007</v>
      </c>
      <c r="L1344" s="6" t="str">
        <f>HYPERLINK("https://maps.google.com/?q=16.78735854,-96.898687480000007", "🔗 Ver Mapa")</f>
        <v>🔗 Ver Mapa</v>
      </c>
    </row>
    <row r="1345" spans="1:12" ht="43.5" x14ac:dyDescent="0.35">
      <c r="A1345" s="5" t="s">
        <v>206</v>
      </c>
      <c r="B1345" s="5" t="s">
        <v>207</v>
      </c>
      <c r="C1345" s="5" t="s">
        <v>252</v>
      </c>
      <c r="D1345" s="5" t="s">
        <v>34</v>
      </c>
      <c r="E1345" s="5" t="s">
        <v>37</v>
      </c>
      <c r="F1345" s="5" t="s">
        <v>253</v>
      </c>
      <c r="G1345" s="5" t="s">
        <v>254</v>
      </c>
      <c r="H1345" s="5" t="s">
        <v>255</v>
      </c>
      <c r="I1345" s="5" t="s">
        <v>213</v>
      </c>
      <c r="J1345" s="5">
        <v>16.787381889999999</v>
      </c>
      <c r="K1345" s="5">
        <v>-96.913278899999995</v>
      </c>
      <c r="L1345" s="5" t="str">
        <f>HYPERLINK("https://maps.google.com/?q=16.78738189,-96.913278899999995", "🔗 Ver Mapa")</f>
        <v>🔗 Ver Mapa</v>
      </c>
    </row>
    <row r="1346" spans="1:12" ht="43.5" x14ac:dyDescent="0.35">
      <c r="A1346" s="6" t="s">
        <v>206</v>
      </c>
      <c r="B1346" s="6" t="s">
        <v>207</v>
      </c>
      <c r="C1346" s="6" t="s">
        <v>252</v>
      </c>
      <c r="D1346" s="6" t="s">
        <v>34</v>
      </c>
      <c r="E1346" s="6" t="s">
        <v>37</v>
      </c>
      <c r="F1346" s="6" t="s">
        <v>253</v>
      </c>
      <c r="G1346" s="6" t="s">
        <v>254</v>
      </c>
      <c r="H1346" s="6" t="s">
        <v>255</v>
      </c>
      <c r="I1346" s="6" t="s">
        <v>213</v>
      </c>
      <c r="J1346" s="6">
        <v>16.787406659999998</v>
      </c>
      <c r="K1346" s="6">
        <v>-96.900036319999998</v>
      </c>
      <c r="L1346" s="6" t="str">
        <f>HYPERLINK("https://maps.google.com/?q=16.78740666,-96.900036319999998", "🔗 Ver Mapa")</f>
        <v>🔗 Ver Mapa</v>
      </c>
    </row>
    <row r="1347" spans="1:12" ht="43.5" x14ac:dyDescent="0.35">
      <c r="A1347" s="5" t="s">
        <v>206</v>
      </c>
      <c r="B1347" s="5" t="s">
        <v>207</v>
      </c>
      <c r="C1347" s="5" t="s">
        <v>252</v>
      </c>
      <c r="D1347" s="5" t="s">
        <v>34</v>
      </c>
      <c r="E1347" s="5" t="s">
        <v>37</v>
      </c>
      <c r="F1347" s="5" t="s">
        <v>253</v>
      </c>
      <c r="G1347" s="5" t="s">
        <v>254</v>
      </c>
      <c r="H1347" s="5" t="s">
        <v>255</v>
      </c>
      <c r="I1347" s="5" t="s">
        <v>213</v>
      </c>
      <c r="J1347" s="5">
        <v>16.78741175</v>
      </c>
      <c r="K1347" s="5">
        <v>-96.897117420000001</v>
      </c>
      <c r="L1347" s="5" t="str">
        <f>HYPERLINK("https://maps.google.com/?q=16.78741175,-96.897117420000001", "🔗 Ver Mapa")</f>
        <v>🔗 Ver Mapa</v>
      </c>
    </row>
    <row r="1348" spans="1:12" ht="43.5" x14ac:dyDescent="0.35">
      <c r="A1348" s="6" t="s">
        <v>206</v>
      </c>
      <c r="B1348" s="6" t="s">
        <v>207</v>
      </c>
      <c r="C1348" s="6" t="s">
        <v>252</v>
      </c>
      <c r="D1348" s="6" t="s">
        <v>34</v>
      </c>
      <c r="E1348" s="6" t="s">
        <v>37</v>
      </c>
      <c r="F1348" s="6" t="s">
        <v>253</v>
      </c>
      <c r="G1348" s="6" t="s">
        <v>254</v>
      </c>
      <c r="H1348" s="6" t="s">
        <v>255</v>
      </c>
      <c r="I1348" s="6" t="s">
        <v>213</v>
      </c>
      <c r="J1348" s="6">
        <v>16.7874315</v>
      </c>
      <c r="K1348" s="6">
        <v>-96.915025560000004</v>
      </c>
      <c r="L1348" s="6" t="str">
        <f>HYPERLINK("https://maps.google.com/?q=16.7874315,-96.915025560000004", "🔗 Ver Mapa")</f>
        <v>🔗 Ver Mapa</v>
      </c>
    </row>
    <row r="1349" spans="1:12" ht="43.5" x14ac:dyDescent="0.35">
      <c r="A1349" s="5" t="s">
        <v>206</v>
      </c>
      <c r="B1349" s="5" t="s">
        <v>207</v>
      </c>
      <c r="C1349" s="5" t="s">
        <v>252</v>
      </c>
      <c r="D1349" s="5" t="s">
        <v>34</v>
      </c>
      <c r="E1349" s="5" t="s">
        <v>37</v>
      </c>
      <c r="F1349" s="5" t="s">
        <v>253</v>
      </c>
      <c r="G1349" s="5" t="s">
        <v>254</v>
      </c>
      <c r="H1349" s="5" t="s">
        <v>255</v>
      </c>
      <c r="I1349" s="5" t="s">
        <v>213</v>
      </c>
      <c r="J1349" s="5">
        <v>16.78745477</v>
      </c>
      <c r="K1349" s="5">
        <v>-96.898450330000003</v>
      </c>
      <c r="L1349" s="5" t="str">
        <f>HYPERLINK("https://maps.google.com/?q=16.78745477,-96.898450330000003", "🔗 Ver Mapa")</f>
        <v>🔗 Ver Mapa</v>
      </c>
    </row>
    <row r="1350" spans="1:12" ht="43.5" x14ac:dyDescent="0.35">
      <c r="A1350" s="6" t="s">
        <v>206</v>
      </c>
      <c r="B1350" s="6" t="s">
        <v>207</v>
      </c>
      <c r="C1350" s="6" t="s">
        <v>252</v>
      </c>
      <c r="D1350" s="6" t="s">
        <v>34</v>
      </c>
      <c r="E1350" s="6" t="s">
        <v>37</v>
      </c>
      <c r="F1350" s="6" t="s">
        <v>253</v>
      </c>
      <c r="G1350" s="6" t="s">
        <v>254</v>
      </c>
      <c r="H1350" s="6" t="s">
        <v>255</v>
      </c>
      <c r="I1350" s="6" t="s">
        <v>213</v>
      </c>
      <c r="J1350" s="6">
        <v>16.78746778</v>
      </c>
      <c r="K1350" s="6">
        <v>-96.900244090000001</v>
      </c>
      <c r="L1350" s="6" t="str">
        <f>HYPERLINK("https://maps.google.com/?q=16.78746778,-96.900244090000001", "🔗 Ver Mapa")</f>
        <v>🔗 Ver Mapa</v>
      </c>
    </row>
    <row r="1351" spans="1:12" ht="43.5" x14ac:dyDescent="0.35">
      <c r="A1351" s="5" t="s">
        <v>206</v>
      </c>
      <c r="B1351" s="5" t="s">
        <v>207</v>
      </c>
      <c r="C1351" s="5" t="s">
        <v>252</v>
      </c>
      <c r="D1351" s="5" t="s">
        <v>34</v>
      </c>
      <c r="E1351" s="5" t="s">
        <v>37</v>
      </c>
      <c r="F1351" s="5" t="s">
        <v>253</v>
      </c>
      <c r="G1351" s="5" t="s">
        <v>254</v>
      </c>
      <c r="H1351" s="5" t="s">
        <v>255</v>
      </c>
      <c r="I1351" s="5" t="s">
        <v>213</v>
      </c>
      <c r="J1351" s="5">
        <v>16.787485790000002</v>
      </c>
      <c r="K1351" s="5">
        <v>-96.899997560000003</v>
      </c>
      <c r="L1351" s="5" t="str">
        <f>HYPERLINK("https://maps.google.com/?q=16.78748579,-96.899997560000003", "🔗 Ver Mapa")</f>
        <v>🔗 Ver Mapa</v>
      </c>
    </row>
    <row r="1352" spans="1:12" ht="43.5" x14ac:dyDescent="0.35">
      <c r="A1352" s="6" t="s">
        <v>206</v>
      </c>
      <c r="B1352" s="6" t="s">
        <v>207</v>
      </c>
      <c r="C1352" s="6" t="s">
        <v>252</v>
      </c>
      <c r="D1352" s="6" t="s">
        <v>34</v>
      </c>
      <c r="E1352" s="6" t="s">
        <v>37</v>
      </c>
      <c r="F1352" s="6" t="s">
        <v>253</v>
      </c>
      <c r="G1352" s="6" t="s">
        <v>254</v>
      </c>
      <c r="H1352" s="6" t="s">
        <v>255</v>
      </c>
      <c r="I1352" s="6" t="s">
        <v>213</v>
      </c>
      <c r="J1352" s="6">
        <v>16.787539630000001</v>
      </c>
      <c r="K1352" s="6">
        <v>-96.895637120000004</v>
      </c>
      <c r="L1352" s="6" t="str">
        <f>HYPERLINK("https://maps.google.com/?q=16.78753963,-96.895637120000004", "🔗 Ver Mapa")</f>
        <v>🔗 Ver Mapa</v>
      </c>
    </row>
    <row r="1353" spans="1:12" ht="43.5" x14ac:dyDescent="0.35">
      <c r="A1353" s="5" t="s">
        <v>206</v>
      </c>
      <c r="B1353" s="5" t="s">
        <v>207</v>
      </c>
      <c r="C1353" s="5" t="s">
        <v>252</v>
      </c>
      <c r="D1353" s="5" t="s">
        <v>34</v>
      </c>
      <c r="E1353" s="5" t="s">
        <v>37</v>
      </c>
      <c r="F1353" s="5" t="s">
        <v>253</v>
      </c>
      <c r="G1353" s="5" t="s">
        <v>254</v>
      </c>
      <c r="H1353" s="5" t="s">
        <v>255</v>
      </c>
      <c r="I1353" s="5" t="s">
        <v>213</v>
      </c>
      <c r="J1353" s="5">
        <v>16.7875713</v>
      </c>
      <c r="K1353" s="5">
        <v>-96.897510440000005</v>
      </c>
      <c r="L1353" s="5" t="str">
        <f>HYPERLINK("https://maps.google.com/?q=16.7875713,-96.897510440000005", "🔗 Ver Mapa")</f>
        <v>🔗 Ver Mapa</v>
      </c>
    </row>
    <row r="1354" spans="1:12" ht="43.5" x14ac:dyDescent="0.35">
      <c r="A1354" s="6" t="s">
        <v>206</v>
      </c>
      <c r="B1354" s="6" t="s">
        <v>207</v>
      </c>
      <c r="C1354" s="6" t="s">
        <v>252</v>
      </c>
      <c r="D1354" s="6" t="s">
        <v>34</v>
      </c>
      <c r="E1354" s="6" t="s">
        <v>37</v>
      </c>
      <c r="F1354" s="6" t="s">
        <v>253</v>
      </c>
      <c r="G1354" s="6" t="s">
        <v>254</v>
      </c>
      <c r="H1354" s="6" t="s">
        <v>255</v>
      </c>
      <c r="I1354" s="6" t="s">
        <v>213</v>
      </c>
      <c r="J1354" s="6">
        <v>16.787580479999999</v>
      </c>
      <c r="K1354" s="6">
        <v>-96.897243309999993</v>
      </c>
      <c r="L1354" s="6" t="str">
        <f>HYPERLINK("https://maps.google.com/?q=16.78758048,-96.897243309999993", "🔗 Ver Mapa")</f>
        <v>🔗 Ver Mapa</v>
      </c>
    </row>
    <row r="1355" spans="1:12" ht="43.5" x14ac:dyDescent="0.35">
      <c r="A1355" s="5" t="s">
        <v>206</v>
      </c>
      <c r="B1355" s="5" t="s">
        <v>207</v>
      </c>
      <c r="C1355" s="5" t="s">
        <v>252</v>
      </c>
      <c r="D1355" s="5" t="s">
        <v>34</v>
      </c>
      <c r="E1355" s="5" t="s">
        <v>37</v>
      </c>
      <c r="F1355" s="5" t="s">
        <v>253</v>
      </c>
      <c r="G1355" s="5" t="s">
        <v>254</v>
      </c>
      <c r="H1355" s="5" t="s">
        <v>255</v>
      </c>
      <c r="I1355" s="5" t="s">
        <v>213</v>
      </c>
      <c r="J1355" s="5">
        <v>16.787594410000001</v>
      </c>
      <c r="K1355" s="5">
        <v>-96.91565353</v>
      </c>
      <c r="L1355" s="5" t="str">
        <f>HYPERLINK("https://maps.google.com/?q=16.78759441,-96.91565353", "🔗 Ver Mapa")</f>
        <v>🔗 Ver Mapa</v>
      </c>
    </row>
    <row r="1356" spans="1:12" ht="43.5" x14ac:dyDescent="0.35">
      <c r="A1356" s="6" t="s">
        <v>206</v>
      </c>
      <c r="B1356" s="6" t="s">
        <v>207</v>
      </c>
      <c r="C1356" s="6" t="s">
        <v>252</v>
      </c>
      <c r="D1356" s="6" t="s">
        <v>34</v>
      </c>
      <c r="E1356" s="6" t="s">
        <v>37</v>
      </c>
      <c r="F1356" s="6" t="s">
        <v>253</v>
      </c>
      <c r="G1356" s="6" t="s">
        <v>254</v>
      </c>
      <c r="H1356" s="6" t="s">
        <v>255</v>
      </c>
      <c r="I1356" s="6" t="s">
        <v>213</v>
      </c>
      <c r="J1356" s="6">
        <v>16.7876312</v>
      </c>
      <c r="K1356" s="6">
        <v>-96.898327030000004</v>
      </c>
      <c r="L1356" s="6" t="str">
        <f>HYPERLINK("https://maps.google.com/?q=16.7876312,-96.898327030000004", "🔗 Ver Mapa")</f>
        <v>🔗 Ver Mapa</v>
      </c>
    </row>
    <row r="1357" spans="1:12" ht="43.5" x14ac:dyDescent="0.35">
      <c r="A1357" s="5" t="s">
        <v>206</v>
      </c>
      <c r="B1357" s="5" t="s">
        <v>207</v>
      </c>
      <c r="C1357" s="5" t="s">
        <v>252</v>
      </c>
      <c r="D1357" s="5" t="s">
        <v>34</v>
      </c>
      <c r="E1357" s="5" t="s">
        <v>37</v>
      </c>
      <c r="F1357" s="5" t="s">
        <v>253</v>
      </c>
      <c r="G1357" s="5" t="s">
        <v>254</v>
      </c>
      <c r="H1357" s="5" t="s">
        <v>255</v>
      </c>
      <c r="I1357" s="5" t="s">
        <v>213</v>
      </c>
      <c r="J1357" s="5">
        <v>16.787669300000001</v>
      </c>
      <c r="K1357" s="5">
        <v>-96.896838630000005</v>
      </c>
      <c r="L1357" s="5" t="str">
        <f>HYPERLINK("https://maps.google.com/?q=16.7876693,-96.896838630000005", "🔗 Ver Mapa")</f>
        <v>🔗 Ver Mapa</v>
      </c>
    </row>
    <row r="1358" spans="1:12" ht="43.5" x14ac:dyDescent="0.35">
      <c r="A1358" s="6" t="s">
        <v>206</v>
      </c>
      <c r="B1358" s="6" t="s">
        <v>207</v>
      </c>
      <c r="C1358" s="6" t="s">
        <v>252</v>
      </c>
      <c r="D1358" s="6" t="s">
        <v>34</v>
      </c>
      <c r="E1358" s="6" t="s">
        <v>37</v>
      </c>
      <c r="F1358" s="6" t="s">
        <v>253</v>
      </c>
      <c r="G1358" s="6" t="s">
        <v>254</v>
      </c>
      <c r="H1358" s="6" t="s">
        <v>255</v>
      </c>
      <c r="I1358" s="6" t="s">
        <v>213</v>
      </c>
      <c r="J1358" s="6">
        <v>16.787673940000001</v>
      </c>
      <c r="K1358" s="6">
        <v>-96.900173609999996</v>
      </c>
      <c r="L1358" s="6" t="str">
        <f>HYPERLINK("https://maps.google.com/?q=16.78767394,-96.900173609999996", "🔗 Ver Mapa")</f>
        <v>🔗 Ver Mapa</v>
      </c>
    </row>
    <row r="1359" spans="1:12" ht="43.5" x14ac:dyDescent="0.35">
      <c r="A1359" s="5" t="s">
        <v>206</v>
      </c>
      <c r="B1359" s="5" t="s">
        <v>207</v>
      </c>
      <c r="C1359" s="5" t="s">
        <v>252</v>
      </c>
      <c r="D1359" s="5" t="s">
        <v>34</v>
      </c>
      <c r="E1359" s="5" t="s">
        <v>37</v>
      </c>
      <c r="F1359" s="5" t="s">
        <v>253</v>
      </c>
      <c r="G1359" s="5" t="s">
        <v>254</v>
      </c>
      <c r="H1359" s="5" t="s">
        <v>255</v>
      </c>
      <c r="I1359" s="5" t="s">
        <v>213</v>
      </c>
      <c r="J1359" s="5">
        <v>16.787709840000002</v>
      </c>
      <c r="K1359" s="5">
        <v>-96.896548420000002</v>
      </c>
      <c r="L1359" s="5" t="str">
        <f>HYPERLINK("https://maps.google.com/?q=16.78770984,-96.896548420000002", "🔗 Ver Mapa")</f>
        <v>🔗 Ver Mapa</v>
      </c>
    </row>
    <row r="1360" spans="1:12" ht="43.5" x14ac:dyDescent="0.35">
      <c r="A1360" s="6" t="s">
        <v>206</v>
      </c>
      <c r="B1360" s="6" t="s">
        <v>207</v>
      </c>
      <c r="C1360" s="6" t="s">
        <v>252</v>
      </c>
      <c r="D1360" s="6" t="s">
        <v>34</v>
      </c>
      <c r="E1360" s="6" t="s">
        <v>37</v>
      </c>
      <c r="F1360" s="6" t="s">
        <v>253</v>
      </c>
      <c r="G1360" s="6" t="s">
        <v>254</v>
      </c>
      <c r="H1360" s="6" t="s">
        <v>255</v>
      </c>
      <c r="I1360" s="6" t="s">
        <v>213</v>
      </c>
      <c r="J1360" s="6">
        <v>16.78771472</v>
      </c>
      <c r="K1360" s="6">
        <v>-96.923969529999994</v>
      </c>
      <c r="L1360" s="6" t="str">
        <f>HYPERLINK("https://maps.google.com/?q=16.78771472,-96.923969529999994", "🔗 Ver Mapa")</f>
        <v>🔗 Ver Mapa</v>
      </c>
    </row>
    <row r="1361" spans="1:12" ht="43.5" x14ac:dyDescent="0.35">
      <c r="A1361" s="5" t="s">
        <v>206</v>
      </c>
      <c r="B1361" s="5" t="s">
        <v>207</v>
      </c>
      <c r="C1361" s="5" t="s">
        <v>252</v>
      </c>
      <c r="D1361" s="5" t="s">
        <v>34</v>
      </c>
      <c r="E1361" s="5" t="s">
        <v>37</v>
      </c>
      <c r="F1361" s="5" t="s">
        <v>253</v>
      </c>
      <c r="G1361" s="5" t="s">
        <v>254</v>
      </c>
      <c r="H1361" s="5" t="s">
        <v>255</v>
      </c>
      <c r="I1361" s="5" t="s">
        <v>213</v>
      </c>
      <c r="J1361" s="5">
        <v>16.787732080000001</v>
      </c>
      <c r="K1361" s="5">
        <v>-96.922656160000003</v>
      </c>
      <c r="L1361" s="5" t="str">
        <f>HYPERLINK("https://maps.google.com/?q=16.78773208,-96.922656160000003", "🔗 Ver Mapa")</f>
        <v>🔗 Ver Mapa</v>
      </c>
    </row>
    <row r="1362" spans="1:12" ht="43.5" x14ac:dyDescent="0.35">
      <c r="A1362" s="6" t="s">
        <v>206</v>
      </c>
      <c r="B1362" s="6" t="s">
        <v>207</v>
      </c>
      <c r="C1362" s="6" t="s">
        <v>252</v>
      </c>
      <c r="D1362" s="6" t="s">
        <v>34</v>
      </c>
      <c r="E1362" s="6" t="s">
        <v>37</v>
      </c>
      <c r="F1362" s="6" t="s">
        <v>253</v>
      </c>
      <c r="G1362" s="6" t="s">
        <v>254</v>
      </c>
      <c r="H1362" s="6" t="s">
        <v>255</v>
      </c>
      <c r="I1362" s="6" t="s">
        <v>213</v>
      </c>
      <c r="J1362" s="6">
        <v>16.787754450000001</v>
      </c>
      <c r="K1362" s="6">
        <v>-96.898230269999999</v>
      </c>
      <c r="L1362" s="6" t="str">
        <f>HYPERLINK("https://maps.google.com/?q=16.78775445,-96.898230269999999", "🔗 Ver Mapa")</f>
        <v>🔗 Ver Mapa</v>
      </c>
    </row>
    <row r="1363" spans="1:12" ht="43.5" x14ac:dyDescent="0.35">
      <c r="A1363" s="5" t="s">
        <v>206</v>
      </c>
      <c r="B1363" s="5" t="s">
        <v>207</v>
      </c>
      <c r="C1363" s="5" t="s">
        <v>252</v>
      </c>
      <c r="D1363" s="5" t="s">
        <v>34</v>
      </c>
      <c r="E1363" s="5" t="s">
        <v>37</v>
      </c>
      <c r="F1363" s="5" t="s">
        <v>253</v>
      </c>
      <c r="G1363" s="5" t="s">
        <v>254</v>
      </c>
      <c r="H1363" s="5" t="s">
        <v>255</v>
      </c>
      <c r="I1363" s="5" t="s">
        <v>213</v>
      </c>
      <c r="J1363" s="5">
        <v>16.78776783</v>
      </c>
      <c r="K1363" s="5">
        <v>-96.916234720000006</v>
      </c>
      <c r="L1363" s="5" t="str">
        <f>HYPERLINK("https://maps.google.com/?q=16.78776783,-96.916234720000006", "🔗 Ver Mapa")</f>
        <v>🔗 Ver Mapa</v>
      </c>
    </row>
    <row r="1364" spans="1:12" ht="43.5" x14ac:dyDescent="0.35">
      <c r="A1364" s="6" t="s">
        <v>206</v>
      </c>
      <c r="B1364" s="6" t="s">
        <v>207</v>
      </c>
      <c r="C1364" s="6" t="s">
        <v>252</v>
      </c>
      <c r="D1364" s="6" t="s">
        <v>34</v>
      </c>
      <c r="E1364" s="6" t="s">
        <v>37</v>
      </c>
      <c r="F1364" s="6" t="s">
        <v>253</v>
      </c>
      <c r="G1364" s="6" t="s">
        <v>254</v>
      </c>
      <c r="H1364" s="6" t="s">
        <v>255</v>
      </c>
      <c r="I1364" s="6" t="s">
        <v>213</v>
      </c>
      <c r="J1364" s="6">
        <v>16.787794760000001</v>
      </c>
      <c r="K1364" s="6">
        <v>-96.895802590000002</v>
      </c>
      <c r="L1364" s="6" t="str">
        <f>HYPERLINK("https://maps.google.com/?q=16.78779476,-96.895802590000002", "🔗 Ver Mapa")</f>
        <v>🔗 Ver Mapa</v>
      </c>
    </row>
    <row r="1365" spans="1:12" ht="43.5" x14ac:dyDescent="0.35">
      <c r="A1365" s="5" t="s">
        <v>206</v>
      </c>
      <c r="B1365" s="5" t="s">
        <v>207</v>
      </c>
      <c r="C1365" s="5" t="s">
        <v>252</v>
      </c>
      <c r="D1365" s="5" t="s">
        <v>34</v>
      </c>
      <c r="E1365" s="5" t="s">
        <v>37</v>
      </c>
      <c r="F1365" s="5" t="s">
        <v>253</v>
      </c>
      <c r="G1365" s="5" t="s">
        <v>254</v>
      </c>
      <c r="H1365" s="5" t="s">
        <v>255</v>
      </c>
      <c r="I1365" s="5" t="s">
        <v>213</v>
      </c>
      <c r="J1365" s="5">
        <v>16.787798859999999</v>
      </c>
      <c r="K1365" s="5">
        <v>-96.899797019999994</v>
      </c>
      <c r="L1365" s="5" t="str">
        <f>HYPERLINK("https://maps.google.com/?q=16.78779886,-96.899797019999994", "🔗 Ver Mapa")</f>
        <v>🔗 Ver Mapa</v>
      </c>
    </row>
    <row r="1366" spans="1:12" ht="43.5" x14ac:dyDescent="0.35">
      <c r="A1366" s="6" t="s">
        <v>206</v>
      </c>
      <c r="B1366" s="6" t="s">
        <v>207</v>
      </c>
      <c r="C1366" s="6" t="s">
        <v>252</v>
      </c>
      <c r="D1366" s="6" t="s">
        <v>34</v>
      </c>
      <c r="E1366" s="6" t="s">
        <v>37</v>
      </c>
      <c r="F1366" s="6" t="s">
        <v>253</v>
      </c>
      <c r="G1366" s="6" t="s">
        <v>254</v>
      </c>
      <c r="H1366" s="6" t="s">
        <v>255</v>
      </c>
      <c r="I1366" s="6" t="s">
        <v>213</v>
      </c>
      <c r="J1366" s="6">
        <v>16.78781042</v>
      </c>
      <c r="K1366" s="6">
        <v>-96.896460039999994</v>
      </c>
      <c r="L1366" s="6" t="str">
        <f>HYPERLINK("https://maps.google.com/?q=16.78781042,-96.896460039999994", "🔗 Ver Mapa")</f>
        <v>🔗 Ver Mapa</v>
      </c>
    </row>
    <row r="1367" spans="1:12" ht="43.5" x14ac:dyDescent="0.35">
      <c r="A1367" s="5" t="s">
        <v>206</v>
      </c>
      <c r="B1367" s="5" t="s">
        <v>207</v>
      </c>
      <c r="C1367" s="5" t="s">
        <v>252</v>
      </c>
      <c r="D1367" s="5" t="s">
        <v>34</v>
      </c>
      <c r="E1367" s="5" t="s">
        <v>37</v>
      </c>
      <c r="F1367" s="5" t="s">
        <v>253</v>
      </c>
      <c r="G1367" s="5" t="s">
        <v>254</v>
      </c>
      <c r="H1367" s="5" t="s">
        <v>255</v>
      </c>
      <c r="I1367" s="5" t="s">
        <v>213</v>
      </c>
      <c r="J1367" s="5">
        <v>16.787846049999999</v>
      </c>
      <c r="K1367" s="5">
        <v>-96.923252939999998</v>
      </c>
      <c r="L1367" s="5" t="str">
        <f>HYPERLINK("https://maps.google.com/?q=16.78784605,-96.923252939999998", "🔗 Ver Mapa")</f>
        <v>🔗 Ver Mapa</v>
      </c>
    </row>
    <row r="1368" spans="1:12" ht="43.5" x14ac:dyDescent="0.35">
      <c r="A1368" s="6" t="s">
        <v>206</v>
      </c>
      <c r="B1368" s="6" t="s">
        <v>207</v>
      </c>
      <c r="C1368" s="6" t="s">
        <v>252</v>
      </c>
      <c r="D1368" s="6" t="s">
        <v>34</v>
      </c>
      <c r="E1368" s="6" t="s">
        <v>37</v>
      </c>
      <c r="F1368" s="6" t="s">
        <v>253</v>
      </c>
      <c r="G1368" s="6" t="s">
        <v>254</v>
      </c>
      <c r="H1368" s="6" t="s">
        <v>255</v>
      </c>
      <c r="I1368" s="6" t="s">
        <v>213</v>
      </c>
      <c r="J1368" s="6">
        <v>16.78785281</v>
      </c>
      <c r="K1368" s="6">
        <v>-96.896051099999994</v>
      </c>
      <c r="L1368" s="6" t="str">
        <f>HYPERLINK("https://maps.google.com/?q=16.78785281,-96.896051099999994", "🔗 Ver Mapa")</f>
        <v>🔗 Ver Mapa</v>
      </c>
    </row>
    <row r="1369" spans="1:12" ht="43.5" x14ac:dyDescent="0.35">
      <c r="A1369" s="5" t="s">
        <v>206</v>
      </c>
      <c r="B1369" s="5" t="s">
        <v>207</v>
      </c>
      <c r="C1369" s="5" t="s">
        <v>252</v>
      </c>
      <c r="D1369" s="5" t="s">
        <v>34</v>
      </c>
      <c r="E1369" s="5" t="s">
        <v>37</v>
      </c>
      <c r="F1369" s="5" t="s">
        <v>253</v>
      </c>
      <c r="G1369" s="5" t="s">
        <v>254</v>
      </c>
      <c r="H1369" s="5" t="s">
        <v>255</v>
      </c>
      <c r="I1369" s="5" t="s">
        <v>213</v>
      </c>
      <c r="J1369" s="5">
        <v>16.78786238</v>
      </c>
      <c r="K1369" s="5">
        <v>-96.896291579999996</v>
      </c>
      <c r="L1369" s="5" t="str">
        <f>HYPERLINK("https://maps.google.com/?q=16.78786238,-96.896291579999996", "🔗 Ver Mapa")</f>
        <v>🔗 Ver Mapa</v>
      </c>
    </row>
    <row r="1370" spans="1:12" ht="43.5" x14ac:dyDescent="0.35">
      <c r="A1370" s="6" t="s">
        <v>206</v>
      </c>
      <c r="B1370" s="6" t="s">
        <v>207</v>
      </c>
      <c r="C1370" s="6" t="s">
        <v>252</v>
      </c>
      <c r="D1370" s="6" t="s">
        <v>34</v>
      </c>
      <c r="E1370" s="6" t="s">
        <v>37</v>
      </c>
      <c r="F1370" s="6" t="s">
        <v>253</v>
      </c>
      <c r="G1370" s="6" t="s">
        <v>254</v>
      </c>
      <c r="H1370" s="6" t="s">
        <v>255</v>
      </c>
      <c r="I1370" s="6" t="s">
        <v>213</v>
      </c>
      <c r="J1370" s="6">
        <v>16.787880990000001</v>
      </c>
      <c r="K1370" s="6">
        <v>-96.898163710000006</v>
      </c>
      <c r="L1370" s="6" t="str">
        <f>HYPERLINK("https://maps.google.com/?q=16.78788099,-96.898163710000006", "🔗 Ver Mapa")</f>
        <v>🔗 Ver Mapa</v>
      </c>
    </row>
    <row r="1371" spans="1:12" ht="43.5" x14ac:dyDescent="0.35">
      <c r="A1371" s="5" t="s">
        <v>206</v>
      </c>
      <c r="B1371" s="5" t="s">
        <v>207</v>
      </c>
      <c r="C1371" s="5" t="s">
        <v>252</v>
      </c>
      <c r="D1371" s="5" t="s">
        <v>34</v>
      </c>
      <c r="E1371" s="5" t="s">
        <v>37</v>
      </c>
      <c r="F1371" s="5" t="s">
        <v>253</v>
      </c>
      <c r="G1371" s="5" t="s">
        <v>254</v>
      </c>
      <c r="H1371" s="5" t="s">
        <v>255</v>
      </c>
      <c r="I1371" s="5" t="s">
        <v>213</v>
      </c>
      <c r="J1371" s="5">
        <v>16.787888209999998</v>
      </c>
      <c r="K1371" s="5">
        <v>-96.897639150000003</v>
      </c>
      <c r="L1371" s="5" t="str">
        <f>HYPERLINK("https://maps.google.com/?q=16.78788821,-96.897639150000003", "🔗 Ver Mapa")</f>
        <v>🔗 Ver Mapa</v>
      </c>
    </row>
    <row r="1372" spans="1:12" ht="43.5" x14ac:dyDescent="0.35">
      <c r="A1372" s="6" t="s">
        <v>206</v>
      </c>
      <c r="B1372" s="6" t="s">
        <v>207</v>
      </c>
      <c r="C1372" s="6" t="s">
        <v>252</v>
      </c>
      <c r="D1372" s="6" t="s">
        <v>34</v>
      </c>
      <c r="E1372" s="6" t="s">
        <v>37</v>
      </c>
      <c r="F1372" s="6" t="s">
        <v>253</v>
      </c>
      <c r="G1372" s="6" t="s">
        <v>254</v>
      </c>
      <c r="H1372" s="6" t="s">
        <v>255</v>
      </c>
      <c r="I1372" s="6" t="s">
        <v>213</v>
      </c>
      <c r="J1372" s="6">
        <v>16.787913079999999</v>
      </c>
      <c r="K1372" s="6">
        <v>-96.921562140000006</v>
      </c>
      <c r="L1372" s="6" t="str">
        <f>HYPERLINK("https://maps.google.com/?q=16.78791308,-96.921562140000006", "🔗 Ver Mapa")</f>
        <v>🔗 Ver Mapa</v>
      </c>
    </row>
    <row r="1373" spans="1:12" ht="43.5" x14ac:dyDescent="0.35">
      <c r="A1373" s="5" t="s">
        <v>206</v>
      </c>
      <c r="B1373" s="5" t="s">
        <v>207</v>
      </c>
      <c r="C1373" s="5" t="s">
        <v>252</v>
      </c>
      <c r="D1373" s="5" t="s">
        <v>34</v>
      </c>
      <c r="E1373" s="5" t="s">
        <v>37</v>
      </c>
      <c r="F1373" s="5" t="s">
        <v>253</v>
      </c>
      <c r="G1373" s="5" t="s">
        <v>254</v>
      </c>
      <c r="H1373" s="5" t="s">
        <v>255</v>
      </c>
      <c r="I1373" s="5" t="s">
        <v>213</v>
      </c>
      <c r="J1373" s="5">
        <v>16.787924400000001</v>
      </c>
      <c r="K1373" s="5">
        <v>-96.922292249999998</v>
      </c>
      <c r="L1373" s="5" t="str">
        <f>HYPERLINK("https://maps.google.com/?q=16.7879244,-96.922292249999998", "🔗 Ver Mapa")</f>
        <v>🔗 Ver Mapa</v>
      </c>
    </row>
    <row r="1374" spans="1:12" ht="43.5" x14ac:dyDescent="0.35">
      <c r="A1374" s="6" t="s">
        <v>206</v>
      </c>
      <c r="B1374" s="6" t="s">
        <v>207</v>
      </c>
      <c r="C1374" s="6" t="s">
        <v>252</v>
      </c>
      <c r="D1374" s="6" t="s">
        <v>34</v>
      </c>
      <c r="E1374" s="6" t="s">
        <v>37</v>
      </c>
      <c r="F1374" s="6" t="s">
        <v>253</v>
      </c>
      <c r="G1374" s="6" t="s">
        <v>254</v>
      </c>
      <c r="H1374" s="6" t="s">
        <v>255</v>
      </c>
      <c r="I1374" s="6" t="s">
        <v>213</v>
      </c>
      <c r="J1374" s="6">
        <v>16.787925300000001</v>
      </c>
      <c r="K1374" s="6">
        <v>-96.914573090000005</v>
      </c>
      <c r="L1374" s="6" t="str">
        <f>HYPERLINK("https://maps.google.com/?q=16.7879253,-96.914573090000005", "🔗 Ver Mapa")</f>
        <v>🔗 Ver Mapa</v>
      </c>
    </row>
    <row r="1375" spans="1:12" ht="43.5" x14ac:dyDescent="0.35">
      <c r="A1375" s="5" t="s">
        <v>206</v>
      </c>
      <c r="B1375" s="5" t="s">
        <v>207</v>
      </c>
      <c r="C1375" s="5" t="s">
        <v>252</v>
      </c>
      <c r="D1375" s="5" t="s">
        <v>34</v>
      </c>
      <c r="E1375" s="5" t="s">
        <v>37</v>
      </c>
      <c r="F1375" s="5" t="s">
        <v>253</v>
      </c>
      <c r="G1375" s="5" t="s">
        <v>254</v>
      </c>
      <c r="H1375" s="5" t="s">
        <v>255</v>
      </c>
      <c r="I1375" s="5" t="s">
        <v>213</v>
      </c>
      <c r="J1375" s="5">
        <v>16.787930100000001</v>
      </c>
      <c r="K1375" s="5">
        <v>-96.916733949999994</v>
      </c>
      <c r="L1375" s="5" t="str">
        <f>HYPERLINK("https://maps.google.com/?q=16.7879301,-96.916733949999994", "🔗 Ver Mapa")</f>
        <v>🔗 Ver Mapa</v>
      </c>
    </row>
    <row r="1376" spans="1:12" ht="43.5" x14ac:dyDescent="0.35">
      <c r="A1376" s="6" t="s">
        <v>206</v>
      </c>
      <c r="B1376" s="6" t="s">
        <v>207</v>
      </c>
      <c r="C1376" s="6" t="s">
        <v>252</v>
      </c>
      <c r="D1376" s="6" t="s">
        <v>34</v>
      </c>
      <c r="E1376" s="6" t="s">
        <v>37</v>
      </c>
      <c r="F1376" s="6" t="s">
        <v>253</v>
      </c>
      <c r="G1376" s="6" t="s">
        <v>254</v>
      </c>
      <c r="H1376" s="6" t="s">
        <v>255</v>
      </c>
      <c r="I1376" s="6" t="s">
        <v>213</v>
      </c>
      <c r="J1376" s="6">
        <v>16.78795053</v>
      </c>
      <c r="K1376" s="6">
        <v>-96.896657160000004</v>
      </c>
      <c r="L1376" s="6" t="str">
        <f>HYPERLINK("https://maps.google.com/?q=16.78795053,-96.896657160000004", "🔗 Ver Mapa")</f>
        <v>🔗 Ver Mapa</v>
      </c>
    </row>
    <row r="1377" spans="1:12" ht="43.5" x14ac:dyDescent="0.35">
      <c r="A1377" s="5" t="s">
        <v>206</v>
      </c>
      <c r="B1377" s="5" t="s">
        <v>207</v>
      </c>
      <c r="C1377" s="5" t="s">
        <v>252</v>
      </c>
      <c r="D1377" s="5" t="s">
        <v>34</v>
      </c>
      <c r="E1377" s="5" t="s">
        <v>37</v>
      </c>
      <c r="F1377" s="5" t="s">
        <v>253</v>
      </c>
      <c r="G1377" s="5" t="s">
        <v>254</v>
      </c>
      <c r="H1377" s="5" t="s">
        <v>255</v>
      </c>
      <c r="I1377" s="5" t="s">
        <v>213</v>
      </c>
      <c r="J1377" s="5">
        <v>16.787960380000001</v>
      </c>
      <c r="K1377" s="5">
        <v>-96.920884920000006</v>
      </c>
      <c r="L1377" s="5" t="str">
        <f>HYPERLINK("https://maps.google.com/?q=16.78796038,-96.920884920000006", "🔗 Ver Mapa")</f>
        <v>🔗 Ver Mapa</v>
      </c>
    </row>
    <row r="1378" spans="1:12" ht="43.5" x14ac:dyDescent="0.35">
      <c r="A1378" s="6" t="s">
        <v>206</v>
      </c>
      <c r="B1378" s="6" t="s">
        <v>207</v>
      </c>
      <c r="C1378" s="6" t="s">
        <v>252</v>
      </c>
      <c r="D1378" s="6" t="s">
        <v>34</v>
      </c>
      <c r="E1378" s="6" t="s">
        <v>37</v>
      </c>
      <c r="F1378" s="6" t="s">
        <v>253</v>
      </c>
      <c r="G1378" s="6" t="s">
        <v>254</v>
      </c>
      <c r="H1378" s="6" t="s">
        <v>255</v>
      </c>
      <c r="I1378" s="6" t="s">
        <v>213</v>
      </c>
      <c r="J1378" s="6">
        <v>16.787973780000002</v>
      </c>
      <c r="K1378" s="6">
        <v>-96.914670909999998</v>
      </c>
      <c r="L1378" s="6" t="str">
        <f>HYPERLINK("https://maps.google.com/?q=16.78797378,-96.914670909999998", "🔗 Ver Mapa")</f>
        <v>🔗 Ver Mapa</v>
      </c>
    </row>
    <row r="1379" spans="1:12" ht="43.5" x14ac:dyDescent="0.35">
      <c r="A1379" s="5" t="s">
        <v>206</v>
      </c>
      <c r="B1379" s="5" t="s">
        <v>207</v>
      </c>
      <c r="C1379" s="5" t="s">
        <v>252</v>
      </c>
      <c r="D1379" s="5" t="s">
        <v>34</v>
      </c>
      <c r="E1379" s="5" t="s">
        <v>37</v>
      </c>
      <c r="F1379" s="5" t="s">
        <v>253</v>
      </c>
      <c r="G1379" s="5" t="s">
        <v>254</v>
      </c>
      <c r="H1379" s="5" t="s">
        <v>255</v>
      </c>
      <c r="I1379" s="5" t="s">
        <v>213</v>
      </c>
      <c r="J1379" s="5">
        <v>16.787993759999999</v>
      </c>
      <c r="K1379" s="5">
        <v>-96.898154759999997</v>
      </c>
      <c r="L1379" s="5" t="str">
        <f>HYPERLINK("https://maps.google.com/?q=16.78799376,-96.898154759999997", "🔗 Ver Mapa")</f>
        <v>🔗 Ver Mapa</v>
      </c>
    </row>
    <row r="1380" spans="1:12" ht="43.5" x14ac:dyDescent="0.35">
      <c r="A1380" s="6" t="s">
        <v>206</v>
      </c>
      <c r="B1380" s="6" t="s">
        <v>207</v>
      </c>
      <c r="C1380" s="6" t="s">
        <v>252</v>
      </c>
      <c r="D1380" s="6" t="s">
        <v>34</v>
      </c>
      <c r="E1380" s="6" t="s">
        <v>37</v>
      </c>
      <c r="F1380" s="6" t="s">
        <v>253</v>
      </c>
      <c r="G1380" s="6" t="s">
        <v>254</v>
      </c>
      <c r="H1380" s="6" t="s">
        <v>255</v>
      </c>
      <c r="I1380" s="6" t="s">
        <v>213</v>
      </c>
      <c r="J1380" s="6">
        <v>16.788004059999999</v>
      </c>
      <c r="K1380" s="6">
        <v>-96.922007789999995</v>
      </c>
      <c r="L1380" s="6" t="str">
        <f>HYPERLINK("https://maps.google.com/?q=16.78800406,-96.922007789999995", "🔗 Ver Mapa")</f>
        <v>🔗 Ver Mapa</v>
      </c>
    </row>
    <row r="1381" spans="1:12" ht="43.5" x14ac:dyDescent="0.35">
      <c r="A1381" s="5" t="s">
        <v>206</v>
      </c>
      <c r="B1381" s="5" t="s">
        <v>207</v>
      </c>
      <c r="C1381" s="5" t="s">
        <v>252</v>
      </c>
      <c r="D1381" s="5" t="s">
        <v>34</v>
      </c>
      <c r="E1381" s="5" t="s">
        <v>37</v>
      </c>
      <c r="F1381" s="5" t="s">
        <v>253</v>
      </c>
      <c r="G1381" s="5" t="s">
        <v>254</v>
      </c>
      <c r="H1381" s="5" t="s">
        <v>255</v>
      </c>
      <c r="I1381" s="5" t="s">
        <v>213</v>
      </c>
      <c r="J1381" s="5">
        <v>16.78803104</v>
      </c>
      <c r="K1381" s="5">
        <v>-96.917197630000004</v>
      </c>
      <c r="L1381" s="5" t="str">
        <f>HYPERLINK("https://maps.google.com/?q=16.78803104,-96.917197630000004", "🔗 Ver Mapa")</f>
        <v>🔗 Ver Mapa</v>
      </c>
    </row>
    <row r="1382" spans="1:12" ht="43.5" x14ac:dyDescent="0.35">
      <c r="A1382" s="6" t="s">
        <v>206</v>
      </c>
      <c r="B1382" s="6" t="s">
        <v>207</v>
      </c>
      <c r="C1382" s="6" t="s">
        <v>252</v>
      </c>
      <c r="D1382" s="6" t="s">
        <v>34</v>
      </c>
      <c r="E1382" s="6" t="s">
        <v>37</v>
      </c>
      <c r="F1382" s="6" t="s">
        <v>253</v>
      </c>
      <c r="G1382" s="6" t="s">
        <v>254</v>
      </c>
      <c r="H1382" s="6" t="s">
        <v>255</v>
      </c>
      <c r="I1382" s="6" t="s">
        <v>213</v>
      </c>
      <c r="J1382" s="6">
        <v>16.788033259999999</v>
      </c>
      <c r="K1382" s="6">
        <v>-96.898221210000003</v>
      </c>
      <c r="L1382" s="6" t="str">
        <f>HYPERLINK("https://maps.google.com/?q=16.78803326,-96.898221210000003", "🔗 Ver Mapa")</f>
        <v>🔗 Ver Mapa</v>
      </c>
    </row>
    <row r="1383" spans="1:12" ht="43.5" x14ac:dyDescent="0.35">
      <c r="A1383" s="5" t="s">
        <v>206</v>
      </c>
      <c r="B1383" s="5" t="s">
        <v>207</v>
      </c>
      <c r="C1383" s="5" t="s">
        <v>252</v>
      </c>
      <c r="D1383" s="5" t="s">
        <v>34</v>
      </c>
      <c r="E1383" s="5" t="s">
        <v>37</v>
      </c>
      <c r="F1383" s="5" t="s">
        <v>253</v>
      </c>
      <c r="G1383" s="5" t="s">
        <v>254</v>
      </c>
      <c r="H1383" s="5" t="s">
        <v>255</v>
      </c>
      <c r="I1383" s="5" t="s">
        <v>213</v>
      </c>
      <c r="J1383" s="5">
        <v>16.788033590000001</v>
      </c>
      <c r="K1383" s="5">
        <v>-96.917916809999994</v>
      </c>
      <c r="L1383" s="5" t="str">
        <f>HYPERLINK("https://maps.google.com/?q=16.78803359,-96.917916809999994", "🔗 Ver Mapa")</f>
        <v>🔗 Ver Mapa</v>
      </c>
    </row>
    <row r="1384" spans="1:12" ht="43.5" x14ac:dyDescent="0.35">
      <c r="A1384" s="6" t="s">
        <v>206</v>
      </c>
      <c r="B1384" s="6" t="s">
        <v>207</v>
      </c>
      <c r="C1384" s="6" t="s">
        <v>252</v>
      </c>
      <c r="D1384" s="6" t="s">
        <v>34</v>
      </c>
      <c r="E1384" s="6" t="s">
        <v>37</v>
      </c>
      <c r="F1384" s="6" t="s">
        <v>253</v>
      </c>
      <c r="G1384" s="6" t="s">
        <v>254</v>
      </c>
      <c r="H1384" s="6" t="s">
        <v>255</v>
      </c>
      <c r="I1384" s="6" t="s">
        <v>213</v>
      </c>
      <c r="J1384" s="6">
        <v>16.788047840000001</v>
      </c>
      <c r="K1384" s="6">
        <v>-96.896251250000006</v>
      </c>
      <c r="L1384" s="6" t="str">
        <f>HYPERLINK("https://maps.google.com/?q=16.78804784,-96.896251250000006", "🔗 Ver Mapa")</f>
        <v>🔗 Ver Mapa</v>
      </c>
    </row>
    <row r="1385" spans="1:12" ht="43.5" x14ac:dyDescent="0.35">
      <c r="A1385" s="5" t="s">
        <v>206</v>
      </c>
      <c r="B1385" s="5" t="s">
        <v>207</v>
      </c>
      <c r="C1385" s="5" t="s">
        <v>252</v>
      </c>
      <c r="D1385" s="5" t="s">
        <v>34</v>
      </c>
      <c r="E1385" s="5" t="s">
        <v>37</v>
      </c>
      <c r="F1385" s="5" t="s">
        <v>253</v>
      </c>
      <c r="G1385" s="5" t="s">
        <v>254</v>
      </c>
      <c r="H1385" s="5" t="s">
        <v>255</v>
      </c>
      <c r="I1385" s="5" t="s">
        <v>213</v>
      </c>
      <c r="J1385" s="5">
        <v>16.78804959</v>
      </c>
      <c r="K1385" s="5">
        <v>-96.899469179999997</v>
      </c>
      <c r="L1385" s="5" t="str">
        <f>HYPERLINK("https://maps.google.com/?q=16.78804959,-96.899469179999997", "🔗 Ver Mapa")</f>
        <v>🔗 Ver Mapa</v>
      </c>
    </row>
    <row r="1386" spans="1:12" ht="43.5" x14ac:dyDescent="0.35">
      <c r="A1386" s="6" t="s">
        <v>206</v>
      </c>
      <c r="B1386" s="6" t="s">
        <v>207</v>
      </c>
      <c r="C1386" s="6" t="s">
        <v>252</v>
      </c>
      <c r="D1386" s="6" t="s">
        <v>34</v>
      </c>
      <c r="E1386" s="6" t="s">
        <v>37</v>
      </c>
      <c r="F1386" s="6" t="s">
        <v>253</v>
      </c>
      <c r="G1386" s="6" t="s">
        <v>254</v>
      </c>
      <c r="H1386" s="6" t="s">
        <v>255</v>
      </c>
      <c r="I1386" s="6" t="s">
        <v>213</v>
      </c>
      <c r="J1386" s="6">
        <v>16.788052660000002</v>
      </c>
      <c r="K1386" s="6">
        <v>-96.900257580000002</v>
      </c>
      <c r="L1386" s="6" t="str">
        <f>HYPERLINK("https://maps.google.com/?q=16.78805266,-96.900257580000002", "🔗 Ver Mapa")</f>
        <v>🔗 Ver Mapa</v>
      </c>
    </row>
    <row r="1387" spans="1:12" ht="43.5" x14ac:dyDescent="0.35">
      <c r="A1387" s="5" t="s">
        <v>206</v>
      </c>
      <c r="B1387" s="5" t="s">
        <v>207</v>
      </c>
      <c r="C1387" s="5" t="s">
        <v>252</v>
      </c>
      <c r="D1387" s="5" t="s">
        <v>34</v>
      </c>
      <c r="E1387" s="5" t="s">
        <v>37</v>
      </c>
      <c r="F1387" s="5" t="s">
        <v>253</v>
      </c>
      <c r="G1387" s="5" t="s">
        <v>254</v>
      </c>
      <c r="H1387" s="5" t="s">
        <v>255</v>
      </c>
      <c r="I1387" s="5" t="s">
        <v>213</v>
      </c>
      <c r="J1387" s="5">
        <v>16.788057569999999</v>
      </c>
      <c r="K1387" s="5">
        <v>-96.894552570000002</v>
      </c>
      <c r="L1387" s="5" t="str">
        <f>HYPERLINK("https://maps.google.com/?q=16.78805757,-96.894552570000002", "🔗 Ver Mapa")</f>
        <v>🔗 Ver Mapa</v>
      </c>
    </row>
    <row r="1388" spans="1:12" ht="43.5" x14ac:dyDescent="0.35">
      <c r="A1388" s="6" t="s">
        <v>206</v>
      </c>
      <c r="B1388" s="6" t="s">
        <v>207</v>
      </c>
      <c r="C1388" s="6" t="s">
        <v>252</v>
      </c>
      <c r="D1388" s="6" t="s">
        <v>34</v>
      </c>
      <c r="E1388" s="6" t="s">
        <v>37</v>
      </c>
      <c r="F1388" s="6" t="s">
        <v>253</v>
      </c>
      <c r="G1388" s="6" t="s">
        <v>254</v>
      </c>
      <c r="H1388" s="6" t="s">
        <v>255</v>
      </c>
      <c r="I1388" s="6" t="s">
        <v>213</v>
      </c>
      <c r="J1388" s="6">
        <v>16.788107660000001</v>
      </c>
      <c r="K1388" s="6">
        <v>-96.914692439999996</v>
      </c>
      <c r="L1388" s="6" t="str">
        <f>HYPERLINK("https://maps.google.com/?q=16.78810766,-96.914692439999996", "🔗 Ver Mapa")</f>
        <v>🔗 Ver Mapa</v>
      </c>
    </row>
    <row r="1389" spans="1:12" ht="43.5" x14ac:dyDescent="0.35">
      <c r="A1389" s="5" t="s">
        <v>206</v>
      </c>
      <c r="B1389" s="5" t="s">
        <v>207</v>
      </c>
      <c r="C1389" s="5" t="s">
        <v>252</v>
      </c>
      <c r="D1389" s="5" t="s">
        <v>34</v>
      </c>
      <c r="E1389" s="5" t="s">
        <v>37</v>
      </c>
      <c r="F1389" s="5" t="s">
        <v>253</v>
      </c>
      <c r="G1389" s="5" t="s">
        <v>254</v>
      </c>
      <c r="H1389" s="5" t="s">
        <v>255</v>
      </c>
      <c r="I1389" s="5" t="s">
        <v>213</v>
      </c>
      <c r="J1389" s="5">
        <v>16.788132829999999</v>
      </c>
      <c r="K1389" s="5">
        <v>-96.896014940000001</v>
      </c>
      <c r="L1389" s="5" t="str">
        <f>HYPERLINK("https://maps.google.com/?q=16.78813283,-96.896014940000001", "🔗 Ver Mapa")</f>
        <v>🔗 Ver Mapa</v>
      </c>
    </row>
    <row r="1390" spans="1:12" ht="43.5" x14ac:dyDescent="0.35">
      <c r="A1390" s="6" t="s">
        <v>206</v>
      </c>
      <c r="B1390" s="6" t="s">
        <v>207</v>
      </c>
      <c r="C1390" s="6" t="s">
        <v>252</v>
      </c>
      <c r="D1390" s="6" t="s">
        <v>34</v>
      </c>
      <c r="E1390" s="6" t="s">
        <v>37</v>
      </c>
      <c r="F1390" s="6" t="s">
        <v>253</v>
      </c>
      <c r="G1390" s="6" t="s">
        <v>254</v>
      </c>
      <c r="H1390" s="6" t="s">
        <v>255</v>
      </c>
      <c r="I1390" s="6" t="s">
        <v>213</v>
      </c>
      <c r="J1390" s="6">
        <v>16.788145010000001</v>
      </c>
      <c r="K1390" s="6">
        <v>-96.918406039999994</v>
      </c>
      <c r="L1390" s="6" t="str">
        <f>HYPERLINK("https://maps.google.com/?q=16.78814501,-96.918406039999994", "🔗 Ver Mapa")</f>
        <v>🔗 Ver Mapa</v>
      </c>
    </row>
    <row r="1391" spans="1:12" ht="43.5" x14ac:dyDescent="0.35">
      <c r="A1391" s="5" t="s">
        <v>206</v>
      </c>
      <c r="B1391" s="5" t="s">
        <v>207</v>
      </c>
      <c r="C1391" s="5" t="s">
        <v>252</v>
      </c>
      <c r="D1391" s="5" t="s">
        <v>34</v>
      </c>
      <c r="E1391" s="5" t="s">
        <v>37</v>
      </c>
      <c r="F1391" s="5" t="s">
        <v>253</v>
      </c>
      <c r="G1391" s="5" t="s">
        <v>254</v>
      </c>
      <c r="H1391" s="5" t="s">
        <v>255</v>
      </c>
      <c r="I1391" s="5" t="s">
        <v>213</v>
      </c>
      <c r="J1391" s="5">
        <v>16.788146130000001</v>
      </c>
      <c r="K1391" s="5">
        <v>-96.893923369999996</v>
      </c>
      <c r="L1391" s="5" t="str">
        <f>HYPERLINK("https://maps.google.com/?q=16.78814613,-96.893923369999996", "🔗 Ver Mapa")</f>
        <v>🔗 Ver Mapa</v>
      </c>
    </row>
    <row r="1392" spans="1:12" ht="43.5" x14ac:dyDescent="0.35">
      <c r="A1392" s="6" t="s">
        <v>206</v>
      </c>
      <c r="B1392" s="6" t="s">
        <v>207</v>
      </c>
      <c r="C1392" s="6" t="s">
        <v>252</v>
      </c>
      <c r="D1392" s="6" t="s">
        <v>34</v>
      </c>
      <c r="E1392" s="6" t="s">
        <v>37</v>
      </c>
      <c r="F1392" s="6" t="s">
        <v>253</v>
      </c>
      <c r="G1392" s="6" t="s">
        <v>254</v>
      </c>
      <c r="H1392" s="6" t="s">
        <v>255</v>
      </c>
      <c r="I1392" s="6" t="s">
        <v>213</v>
      </c>
      <c r="J1392" s="6">
        <v>16.788177309999998</v>
      </c>
      <c r="K1392" s="6">
        <v>-96.897604130000005</v>
      </c>
      <c r="L1392" s="6" t="str">
        <f>HYPERLINK("https://maps.google.com/?q=16.78817731,-96.897604130000005", "🔗 Ver Mapa")</f>
        <v>🔗 Ver Mapa</v>
      </c>
    </row>
    <row r="1393" spans="1:12" ht="43.5" x14ac:dyDescent="0.35">
      <c r="A1393" s="5" t="s">
        <v>206</v>
      </c>
      <c r="B1393" s="5" t="s">
        <v>207</v>
      </c>
      <c r="C1393" s="5" t="s">
        <v>252</v>
      </c>
      <c r="D1393" s="5" t="s">
        <v>34</v>
      </c>
      <c r="E1393" s="5" t="s">
        <v>37</v>
      </c>
      <c r="F1393" s="5" t="s">
        <v>253</v>
      </c>
      <c r="G1393" s="5" t="s">
        <v>254</v>
      </c>
      <c r="H1393" s="5" t="s">
        <v>255</v>
      </c>
      <c r="I1393" s="5" t="s">
        <v>213</v>
      </c>
      <c r="J1393" s="5">
        <v>16.788197950000001</v>
      </c>
      <c r="K1393" s="5">
        <v>-96.899332110000003</v>
      </c>
      <c r="L1393" s="5" t="str">
        <f>HYPERLINK("https://maps.google.com/?q=16.78819795,-96.899332110000003", "🔗 Ver Mapa")</f>
        <v>🔗 Ver Mapa</v>
      </c>
    </row>
    <row r="1394" spans="1:12" ht="43.5" x14ac:dyDescent="0.35">
      <c r="A1394" s="6" t="s">
        <v>206</v>
      </c>
      <c r="B1394" s="6" t="s">
        <v>207</v>
      </c>
      <c r="C1394" s="6" t="s">
        <v>252</v>
      </c>
      <c r="D1394" s="6" t="s">
        <v>34</v>
      </c>
      <c r="E1394" s="6" t="s">
        <v>37</v>
      </c>
      <c r="F1394" s="6" t="s">
        <v>253</v>
      </c>
      <c r="G1394" s="6" t="s">
        <v>254</v>
      </c>
      <c r="H1394" s="6" t="s">
        <v>255</v>
      </c>
      <c r="I1394" s="6" t="s">
        <v>213</v>
      </c>
      <c r="J1394" s="6">
        <v>16.788206379999998</v>
      </c>
      <c r="K1394" s="6">
        <v>-96.893787200000006</v>
      </c>
      <c r="L1394" s="6" t="str">
        <f>HYPERLINK("https://maps.google.com/?q=16.78820638,-96.893787200000006", "🔗 Ver Mapa")</f>
        <v>🔗 Ver Mapa</v>
      </c>
    </row>
    <row r="1395" spans="1:12" ht="43.5" x14ac:dyDescent="0.35">
      <c r="A1395" s="5" t="s">
        <v>206</v>
      </c>
      <c r="B1395" s="5" t="s">
        <v>207</v>
      </c>
      <c r="C1395" s="5" t="s">
        <v>252</v>
      </c>
      <c r="D1395" s="5" t="s">
        <v>34</v>
      </c>
      <c r="E1395" s="5" t="s">
        <v>37</v>
      </c>
      <c r="F1395" s="5" t="s">
        <v>253</v>
      </c>
      <c r="G1395" s="5" t="s">
        <v>254</v>
      </c>
      <c r="H1395" s="5" t="s">
        <v>255</v>
      </c>
      <c r="I1395" s="5" t="s">
        <v>213</v>
      </c>
      <c r="J1395" s="5">
        <v>16.788249709999999</v>
      </c>
      <c r="K1395" s="5">
        <v>-96.898168510000005</v>
      </c>
      <c r="L1395" s="5" t="str">
        <f>HYPERLINK("https://maps.google.com/?q=16.78824971,-96.898168510000005", "🔗 Ver Mapa")</f>
        <v>🔗 Ver Mapa</v>
      </c>
    </row>
    <row r="1396" spans="1:12" ht="43.5" x14ac:dyDescent="0.35">
      <c r="A1396" s="6" t="s">
        <v>206</v>
      </c>
      <c r="B1396" s="6" t="s">
        <v>207</v>
      </c>
      <c r="C1396" s="6" t="s">
        <v>252</v>
      </c>
      <c r="D1396" s="6" t="s">
        <v>34</v>
      </c>
      <c r="E1396" s="6" t="s">
        <v>37</v>
      </c>
      <c r="F1396" s="6" t="s">
        <v>253</v>
      </c>
      <c r="G1396" s="6" t="s">
        <v>254</v>
      </c>
      <c r="H1396" s="6" t="s">
        <v>255</v>
      </c>
      <c r="I1396" s="6" t="s">
        <v>213</v>
      </c>
      <c r="J1396" s="6">
        <v>16.78825032</v>
      </c>
      <c r="K1396" s="6">
        <v>-96.920240340000007</v>
      </c>
      <c r="L1396" s="6" t="str">
        <f>HYPERLINK("https://maps.google.com/?q=16.78825032,-96.920240340000007", "🔗 Ver Mapa")</f>
        <v>🔗 Ver Mapa</v>
      </c>
    </row>
    <row r="1397" spans="1:12" ht="43.5" x14ac:dyDescent="0.35">
      <c r="A1397" s="5" t="s">
        <v>206</v>
      </c>
      <c r="B1397" s="5" t="s">
        <v>207</v>
      </c>
      <c r="C1397" s="5" t="s">
        <v>252</v>
      </c>
      <c r="D1397" s="5" t="s">
        <v>34</v>
      </c>
      <c r="E1397" s="5" t="s">
        <v>37</v>
      </c>
      <c r="F1397" s="5" t="s">
        <v>253</v>
      </c>
      <c r="G1397" s="5" t="s">
        <v>254</v>
      </c>
      <c r="H1397" s="5" t="s">
        <v>255</v>
      </c>
      <c r="I1397" s="5" t="s">
        <v>213</v>
      </c>
      <c r="J1397" s="5">
        <v>16.788257460000001</v>
      </c>
      <c r="K1397" s="5">
        <v>-96.914685930000005</v>
      </c>
      <c r="L1397" s="5" t="str">
        <f>HYPERLINK("https://maps.google.com/?q=16.78825746,-96.914685930000005", "🔗 Ver Mapa")</f>
        <v>🔗 Ver Mapa</v>
      </c>
    </row>
    <row r="1398" spans="1:12" ht="43.5" x14ac:dyDescent="0.35">
      <c r="A1398" s="6" t="s">
        <v>206</v>
      </c>
      <c r="B1398" s="6" t="s">
        <v>207</v>
      </c>
      <c r="C1398" s="6" t="s">
        <v>252</v>
      </c>
      <c r="D1398" s="6" t="s">
        <v>34</v>
      </c>
      <c r="E1398" s="6" t="s">
        <v>37</v>
      </c>
      <c r="F1398" s="6" t="s">
        <v>253</v>
      </c>
      <c r="G1398" s="6" t="s">
        <v>254</v>
      </c>
      <c r="H1398" s="6" t="s">
        <v>255</v>
      </c>
      <c r="I1398" s="6" t="s">
        <v>213</v>
      </c>
      <c r="J1398" s="6">
        <v>16.78829382</v>
      </c>
      <c r="K1398" s="6">
        <v>-96.900118599999999</v>
      </c>
      <c r="L1398" s="6" t="str">
        <f>HYPERLINK("https://maps.google.com/?q=16.78829382,-96.900118599999999", "🔗 Ver Mapa")</f>
        <v>🔗 Ver Mapa</v>
      </c>
    </row>
    <row r="1399" spans="1:12" ht="43.5" x14ac:dyDescent="0.35">
      <c r="A1399" s="5" t="s">
        <v>206</v>
      </c>
      <c r="B1399" s="5" t="s">
        <v>207</v>
      </c>
      <c r="C1399" s="5" t="s">
        <v>252</v>
      </c>
      <c r="D1399" s="5" t="s">
        <v>34</v>
      </c>
      <c r="E1399" s="5" t="s">
        <v>37</v>
      </c>
      <c r="F1399" s="5" t="s">
        <v>253</v>
      </c>
      <c r="G1399" s="5" t="s">
        <v>254</v>
      </c>
      <c r="H1399" s="5" t="s">
        <v>255</v>
      </c>
      <c r="I1399" s="5" t="s">
        <v>213</v>
      </c>
      <c r="J1399" s="5">
        <v>16.788297629999999</v>
      </c>
      <c r="K1399" s="5">
        <v>-96.914357570000007</v>
      </c>
      <c r="L1399" s="5" t="str">
        <f>HYPERLINK("https://maps.google.com/?q=16.78829763,-96.914357570000007", "🔗 Ver Mapa")</f>
        <v>🔗 Ver Mapa</v>
      </c>
    </row>
    <row r="1400" spans="1:12" ht="43.5" x14ac:dyDescent="0.35">
      <c r="A1400" s="6" t="s">
        <v>206</v>
      </c>
      <c r="B1400" s="6" t="s">
        <v>207</v>
      </c>
      <c r="C1400" s="6" t="s">
        <v>252</v>
      </c>
      <c r="D1400" s="6" t="s">
        <v>34</v>
      </c>
      <c r="E1400" s="6" t="s">
        <v>37</v>
      </c>
      <c r="F1400" s="6" t="s">
        <v>253</v>
      </c>
      <c r="G1400" s="6" t="s">
        <v>254</v>
      </c>
      <c r="H1400" s="6" t="s">
        <v>255</v>
      </c>
      <c r="I1400" s="6" t="s">
        <v>213</v>
      </c>
      <c r="J1400" s="6">
        <v>16.788305959999999</v>
      </c>
      <c r="K1400" s="6">
        <v>-96.906783989999994</v>
      </c>
      <c r="L1400" s="6" t="str">
        <f>HYPERLINK("https://maps.google.com/?q=16.78830596,-96.906783989999994", "🔗 Ver Mapa")</f>
        <v>🔗 Ver Mapa</v>
      </c>
    </row>
    <row r="1401" spans="1:12" ht="43.5" x14ac:dyDescent="0.35">
      <c r="A1401" s="5" t="s">
        <v>206</v>
      </c>
      <c r="B1401" s="5" t="s">
        <v>207</v>
      </c>
      <c r="C1401" s="5" t="s">
        <v>252</v>
      </c>
      <c r="D1401" s="5" t="s">
        <v>34</v>
      </c>
      <c r="E1401" s="5" t="s">
        <v>37</v>
      </c>
      <c r="F1401" s="5" t="s">
        <v>253</v>
      </c>
      <c r="G1401" s="5" t="s">
        <v>254</v>
      </c>
      <c r="H1401" s="5" t="s">
        <v>255</v>
      </c>
      <c r="I1401" s="5" t="s">
        <v>213</v>
      </c>
      <c r="J1401" s="5">
        <v>16.78833672</v>
      </c>
      <c r="K1401" s="5">
        <v>-96.894121420000005</v>
      </c>
      <c r="L1401" s="5" t="str">
        <f>HYPERLINK("https://maps.google.com/?q=16.78833672,-96.894121420000005", "🔗 Ver Mapa")</f>
        <v>🔗 Ver Mapa</v>
      </c>
    </row>
    <row r="1402" spans="1:12" ht="43.5" x14ac:dyDescent="0.35">
      <c r="A1402" s="6" t="s">
        <v>206</v>
      </c>
      <c r="B1402" s="6" t="s">
        <v>207</v>
      </c>
      <c r="C1402" s="6" t="s">
        <v>252</v>
      </c>
      <c r="D1402" s="6" t="s">
        <v>34</v>
      </c>
      <c r="E1402" s="6" t="s">
        <v>37</v>
      </c>
      <c r="F1402" s="6" t="s">
        <v>253</v>
      </c>
      <c r="G1402" s="6" t="s">
        <v>254</v>
      </c>
      <c r="H1402" s="6" t="s">
        <v>255</v>
      </c>
      <c r="I1402" s="6" t="s">
        <v>213</v>
      </c>
      <c r="J1402" s="6">
        <v>16.78835042</v>
      </c>
      <c r="K1402" s="6">
        <v>-96.895766080000001</v>
      </c>
      <c r="L1402" s="6" t="str">
        <f>HYPERLINK("https://maps.google.com/?q=16.78835042,-96.895766080000001", "🔗 Ver Mapa")</f>
        <v>🔗 Ver Mapa</v>
      </c>
    </row>
    <row r="1403" spans="1:12" ht="43.5" x14ac:dyDescent="0.35">
      <c r="A1403" s="5" t="s">
        <v>206</v>
      </c>
      <c r="B1403" s="5" t="s">
        <v>207</v>
      </c>
      <c r="C1403" s="5" t="s">
        <v>252</v>
      </c>
      <c r="D1403" s="5" t="s">
        <v>34</v>
      </c>
      <c r="E1403" s="5" t="s">
        <v>37</v>
      </c>
      <c r="F1403" s="5" t="s">
        <v>253</v>
      </c>
      <c r="G1403" s="5" t="s">
        <v>254</v>
      </c>
      <c r="H1403" s="5" t="s">
        <v>255</v>
      </c>
      <c r="I1403" s="5" t="s">
        <v>213</v>
      </c>
      <c r="J1403" s="5">
        <v>16.788394090000001</v>
      </c>
      <c r="K1403" s="5">
        <v>-96.919660030000003</v>
      </c>
      <c r="L1403" s="5" t="str">
        <f>HYPERLINK("https://maps.google.com/?q=16.78839409,-96.919660030000003", "🔗 Ver Mapa")</f>
        <v>🔗 Ver Mapa</v>
      </c>
    </row>
    <row r="1404" spans="1:12" ht="43.5" x14ac:dyDescent="0.35">
      <c r="A1404" s="6" t="s">
        <v>206</v>
      </c>
      <c r="B1404" s="6" t="s">
        <v>207</v>
      </c>
      <c r="C1404" s="6" t="s">
        <v>252</v>
      </c>
      <c r="D1404" s="6" t="s">
        <v>34</v>
      </c>
      <c r="E1404" s="6" t="s">
        <v>37</v>
      </c>
      <c r="F1404" s="6" t="s">
        <v>253</v>
      </c>
      <c r="G1404" s="6" t="s">
        <v>254</v>
      </c>
      <c r="H1404" s="6" t="s">
        <v>255</v>
      </c>
      <c r="I1404" s="6" t="s">
        <v>213</v>
      </c>
      <c r="J1404" s="6">
        <v>16.788402850000001</v>
      </c>
      <c r="K1404" s="6">
        <v>-96.919108210000005</v>
      </c>
      <c r="L1404" s="6" t="str">
        <f>HYPERLINK("https://maps.google.com/?q=16.78840285,-96.919108210000005", "🔗 Ver Mapa")</f>
        <v>🔗 Ver Mapa</v>
      </c>
    </row>
    <row r="1405" spans="1:12" ht="43.5" x14ac:dyDescent="0.35">
      <c r="A1405" s="5" t="s">
        <v>206</v>
      </c>
      <c r="B1405" s="5" t="s">
        <v>207</v>
      </c>
      <c r="C1405" s="5" t="s">
        <v>252</v>
      </c>
      <c r="D1405" s="5" t="s">
        <v>34</v>
      </c>
      <c r="E1405" s="5" t="s">
        <v>37</v>
      </c>
      <c r="F1405" s="5" t="s">
        <v>253</v>
      </c>
      <c r="G1405" s="5" t="s">
        <v>254</v>
      </c>
      <c r="H1405" s="5" t="s">
        <v>255</v>
      </c>
      <c r="I1405" s="5" t="s">
        <v>213</v>
      </c>
      <c r="J1405" s="5">
        <v>16.788429950000001</v>
      </c>
      <c r="K1405" s="5">
        <v>-96.905057569999997</v>
      </c>
      <c r="L1405" s="5" t="str">
        <f>HYPERLINK("https://maps.google.com/?q=16.78842995,-96.905057569999997", "🔗 Ver Mapa")</f>
        <v>🔗 Ver Mapa</v>
      </c>
    </row>
    <row r="1406" spans="1:12" ht="43.5" x14ac:dyDescent="0.35">
      <c r="A1406" s="6" t="s">
        <v>206</v>
      </c>
      <c r="B1406" s="6" t="s">
        <v>207</v>
      </c>
      <c r="C1406" s="6" t="s">
        <v>252</v>
      </c>
      <c r="D1406" s="6" t="s">
        <v>34</v>
      </c>
      <c r="E1406" s="6" t="s">
        <v>37</v>
      </c>
      <c r="F1406" s="6" t="s">
        <v>253</v>
      </c>
      <c r="G1406" s="6" t="s">
        <v>254</v>
      </c>
      <c r="H1406" s="6" t="s">
        <v>255</v>
      </c>
      <c r="I1406" s="6" t="s">
        <v>213</v>
      </c>
      <c r="J1406" s="6">
        <v>16.788440489999999</v>
      </c>
      <c r="K1406" s="6">
        <v>-96.894482769999996</v>
      </c>
      <c r="L1406" s="6" t="str">
        <f>HYPERLINK("https://maps.google.com/?q=16.78844049,-96.894482769999996", "🔗 Ver Mapa")</f>
        <v>🔗 Ver Mapa</v>
      </c>
    </row>
    <row r="1407" spans="1:12" ht="43.5" x14ac:dyDescent="0.35">
      <c r="A1407" s="5" t="s">
        <v>206</v>
      </c>
      <c r="B1407" s="5" t="s">
        <v>207</v>
      </c>
      <c r="C1407" s="5" t="s">
        <v>252</v>
      </c>
      <c r="D1407" s="5" t="s">
        <v>34</v>
      </c>
      <c r="E1407" s="5" t="s">
        <v>37</v>
      </c>
      <c r="F1407" s="5" t="s">
        <v>253</v>
      </c>
      <c r="G1407" s="5" t="s">
        <v>254</v>
      </c>
      <c r="H1407" s="5" t="s">
        <v>255</v>
      </c>
      <c r="I1407" s="5" t="s">
        <v>213</v>
      </c>
      <c r="J1407" s="5">
        <v>16.788451729999998</v>
      </c>
      <c r="K1407" s="5">
        <v>-96.90496709</v>
      </c>
      <c r="L1407" s="5" t="str">
        <f>HYPERLINK("https://maps.google.com/?q=16.78845173,-96.90496709", "🔗 Ver Mapa")</f>
        <v>🔗 Ver Mapa</v>
      </c>
    </row>
    <row r="1408" spans="1:12" ht="43.5" x14ac:dyDescent="0.35">
      <c r="A1408" s="6" t="s">
        <v>206</v>
      </c>
      <c r="B1408" s="6" t="s">
        <v>207</v>
      </c>
      <c r="C1408" s="6" t="s">
        <v>252</v>
      </c>
      <c r="D1408" s="6" t="s">
        <v>34</v>
      </c>
      <c r="E1408" s="6" t="s">
        <v>37</v>
      </c>
      <c r="F1408" s="6" t="s">
        <v>253</v>
      </c>
      <c r="G1408" s="6" t="s">
        <v>254</v>
      </c>
      <c r="H1408" s="6" t="s">
        <v>255</v>
      </c>
      <c r="I1408" s="6" t="s">
        <v>213</v>
      </c>
      <c r="J1408" s="6">
        <v>16.788456109999998</v>
      </c>
      <c r="K1408" s="6">
        <v>-96.893672390000006</v>
      </c>
      <c r="L1408" s="6" t="str">
        <f>HYPERLINK("https://maps.google.com/?q=16.78845611,-96.893672390000006", "🔗 Ver Mapa")</f>
        <v>🔗 Ver Mapa</v>
      </c>
    </row>
    <row r="1409" spans="1:12" ht="43.5" x14ac:dyDescent="0.35">
      <c r="A1409" s="5" t="s">
        <v>206</v>
      </c>
      <c r="B1409" s="5" t="s">
        <v>207</v>
      </c>
      <c r="C1409" s="5" t="s">
        <v>252</v>
      </c>
      <c r="D1409" s="5" t="s">
        <v>34</v>
      </c>
      <c r="E1409" s="5" t="s">
        <v>37</v>
      </c>
      <c r="F1409" s="5" t="s">
        <v>253</v>
      </c>
      <c r="G1409" s="5" t="s">
        <v>254</v>
      </c>
      <c r="H1409" s="5" t="s">
        <v>255</v>
      </c>
      <c r="I1409" s="5" t="s">
        <v>213</v>
      </c>
      <c r="J1409" s="5">
        <v>16.788462710000001</v>
      </c>
      <c r="K1409" s="5">
        <v>-96.899228980000004</v>
      </c>
      <c r="L1409" s="5" t="str">
        <f>HYPERLINK("https://maps.google.com/?q=16.78846271,-96.899228980000004", "🔗 Ver Mapa")</f>
        <v>🔗 Ver Mapa</v>
      </c>
    </row>
    <row r="1410" spans="1:12" ht="43.5" x14ac:dyDescent="0.35">
      <c r="A1410" s="6" t="s">
        <v>206</v>
      </c>
      <c r="B1410" s="6" t="s">
        <v>207</v>
      </c>
      <c r="C1410" s="6" t="s">
        <v>252</v>
      </c>
      <c r="D1410" s="6" t="s">
        <v>34</v>
      </c>
      <c r="E1410" s="6" t="s">
        <v>37</v>
      </c>
      <c r="F1410" s="6" t="s">
        <v>253</v>
      </c>
      <c r="G1410" s="6" t="s">
        <v>254</v>
      </c>
      <c r="H1410" s="6" t="s">
        <v>255</v>
      </c>
      <c r="I1410" s="6" t="s">
        <v>213</v>
      </c>
      <c r="J1410" s="6">
        <v>16.788467950000001</v>
      </c>
      <c r="K1410" s="6">
        <v>-96.914754970000004</v>
      </c>
      <c r="L1410" s="6" t="str">
        <f>HYPERLINK("https://maps.google.com/?q=16.78846795,-96.914754970000004", "🔗 Ver Mapa")</f>
        <v>🔗 Ver Mapa</v>
      </c>
    </row>
    <row r="1411" spans="1:12" ht="43.5" x14ac:dyDescent="0.35">
      <c r="A1411" s="5" t="s">
        <v>206</v>
      </c>
      <c r="B1411" s="5" t="s">
        <v>207</v>
      </c>
      <c r="C1411" s="5" t="s">
        <v>252</v>
      </c>
      <c r="D1411" s="5" t="s">
        <v>34</v>
      </c>
      <c r="E1411" s="5" t="s">
        <v>37</v>
      </c>
      <c r="F1411" s="5" t="s">
        <v>253</v>
      </c>
      <c r="G1411" s="5" t="s">
        <v>254</v>
      </c>
      <c r="H1411" s="5" t="s">
        <v>255</v>
      </c>
      <c r="I1411" s="5" t="s">
        <v>213</v>
      </c>
      <c r="J1411" s="5">
        <v>16.788496309999999</v>
      </c>
      <c r="K1411" s="5">
        <v>-96.905087859999995</v>
      </c>
      <c r="L1411" s="5" t="str">
        <f>HYPERLINK("https://maps.google.com/?q=16.78849631,-96.905087859999995", "🔗 Ver Mapa")</f>
        <v>🔗 Ver Mapa</v>
      </c>
    </row>
    <row r="1412" spans="1:12" ht="43.5" x14ac:dyDescent="0.35">
      <c r="A1412" s="6" t="s">
        <v>206</v>
      </c>
      <c r="B1412" s="6" t="s">
        <v>207</v>
      </c>
      <c r="C1412" s="6" t="s">
        <v>252</v>
      </c>
      <c r="D1412" s="6" t="s">
        <v>34</v>
      </c>
      <c r="E1412" s="6" t="s">
        <v>37</v>
      </c>
      <c r="F1412" s="6" t="s">
        <v>253</v>
      </c>
      <c r="G1412" s="6" t="s">
        <v>254</v>
      </c>
      <c r="H1412" s="6" t="s">
        <v>255</v>
      </c>
      <c r="I1412" s="6" t="s">
        <v>213</v>
      </c>
      <c r="J1412" s="6">
        <v>16.788501449999998</v>
      </c>
      <c r="K1412" s="6">
        <v>-96.897399449999995</v>
      </c>
      <c r="L1412" s="6" t="str">
        <f>HYPERLINK("https://maps.google.com/?q=16.78850145,-96.897399449999995", "🔗 Ver Mapa")</f>
        <v>🔗 Ver Mapa</v>
      </c>
    </row>
    <row r="1413" spans="1:12" ht="43.5" x14ac:dyDescent="0.35">
      <c r="A1413" s="5" t="s">
        <v>206</v>
      </c>
      <c r="B1413" s="5" t="s">
        <v>207</v>
      </c>
      <c r="C1413" s="5" t="s">
        <v>252</v>
      </c>
      <c r="D1413" s="5" t="s">
        <v>34</v>
      </c>
      <c r="E1413" s="5" t="s">
        <v>37</v>
      </c>
      <c r="F1413" s="5" t="s">
        <v>253</v>
      </c>
      <c r="G1413" s="5" t="s">
        <v>254</v>
      </c>
      <c r="H1413" s="5" t="s">
        <v>255</v>
      </c>
      <c r="I1413" s="5" t="s">
        <v>213</v>
      </c>
      <c r="J1413" s="5">
        <v>16.78850516</v>
      </c>
      <c r="K1413" s="5">
        <v>-96.914279460000003</v>
      </c>
      <c r="L1413" s="5" t="str">
        <f>HYPERLINK("https://maps.google.com/?q=16.78850516,-96.914279460000003", "🔗 Ver Mapa")</f>
        <v>🔗 Ver Mapa</v>
      </c>
    </row>
    <row r="1414" spans="1:12" ht="43.5" x14ac:dyDescent="0.35">
      <c r="A1414" s="6" t="s">
        <v>206</v>
      </c>
      <c r="B1414" s="6" t="s">
        <v>207</v>
      </c>
      <c r="C1414" s="6" t="s">
        <v>252</v>
      </c>
      <c r="D1414" s="6" t="s">
        <v>34</v>
      </c>
      <c r="E1414" s="6" t="s">
        <v>37</v>
      </c>
      <c r="F1414" s="6" t="s">
        <v>253</v>
      </c>
      <c r="G1414" s="6" t="s">
        <v>254</v>
      </c>
      <c r="H1414" s="6" t="s">
        <v>255</v>
      </c>
      <c r="I1414" s="6" t="s">
        <v>213</v>
      </c>
      <c r="J1414" s="6">
        <v>16.788507769999999</v>
      </c>
      <c r="K1414" s="6">
        <v>-96.906162749999993</v>
      </c>
      <c r="L1414" s="6" t="str">
        <f>HYPERLINK("https://maps.google.com/?q=16.78850777,-96.906162749999993", "🔗 Ver Mapa")</f>
        <v>🔗 Ver Mapa</v>
      </c>
    </row>
    <row r="1415" spans="1:12" ht="43.5" x14ac:dyDescent="0.35">
      <c r="A1415" s="5" t="s">
        <v>206</v>
      </c>
      <c r="B1415" s="5" t="s">
        <v>207</v>
      </c>
      <c r="C1415" s="5" t="s">
        <v>252</v>
      </c>
      <c r="D1415" s="5" t="s">
        <v>34</v>
      </c>
      <c r="E1415" s="5" t="s">
        <v>37</v>
      </c>
      <c r="F1415" s="5" t="s">
        <v>253</v>
      </c>
      <c r="G1415" s="5" t="s">
        <v>254</v>
      </c>
      <c r="H1415" s="5" t="s">
        <v>255</v>
      </c>
      <c r="I1415" s="5" t="s">
        <v>213</v>
      </c>
      <c r="J1415" s="5">
        <v>16.78853629</v>
      </c>
      <c r="K1415" s="5">
        <v>-96.904917909999995</v>
      </c>
      <c r="L1415" s="5" t="str">
        <f>HYPERLINK("https://maps.google.com/?q=16.78853629,-96.904917909999995", "🔗 Ver Mapa")</f>
        <v>🔗 Ver Mapa</v>
      </c>
    </row>
    <row r="1416" spans="1:12" ht="43.5" x14ac:dyDescent="0.35">
      <c r="A1416" s="6" t="s">
        <v>206</v>
      </c>
      <c r="B1416" s="6" t="s">
        <v>207</v>
      </c>
      <c r="C1416" s="6" t="s">
        <v>252</v>
      </c>
      <c r="D1416" s="6" t="s">
        <v>34</v>
      </c>
      <c r="E1416" s="6" t="s">
        <v>37</v>
      </c>
      <c r="F1416" s="6" t="s">
        <v>253</v>
      </c>
      <c r="G1416" s="6" t="s">
        <v>254</v>
      </c>
      <c r="H1416" s="6" t="s">
        <v>255</v>
      </c>
      <c r="I1416" s="6" t="s">
        <v>213</v>
      </c>
      <c r="J1416" s="6">
        <v>16.78854776</v>
      </c>
      <c r="K1416" s="6">
        <v>-96.915234240000004</v>
      </c>
      <c r="L1416" s="6" t="str">
        <f>HYPERLINK("https://maps.google.com/?q=16.78854776,-96.915234240000004", "🔗 Ver Mapa")</f>
        <v>🔗 Ver Mapa</v>
      </c>
    </row>
    <row r="1417" spans="1:12" ht="43.5" x14ac:dyDescent="0.35">
      <c r="A1417" s="5" t="s">
        <v>206</v>
      </c>
      <c r="B1417" s="5" t="s">
        <v>207</v>
      </c>
      <c r="C1417" s="5" t="s">
        <v>252</v>
      </c>
      <c r="D1417" s="5" t="s">
        <v>34</v>
      </c>
      <c r="E1417" s="5" t="s">
        <v>37</v>
      </c>
      <c r="F1417" s="5" t="s">
        <v>253</v>
      </c>
      <c r="G1417" s="5" t="s">
        <v>254</v>
      </c>
      <c r="H1417" s="5" t="s">
        <v>255</v>
      </c>
      <c r="I1417" s="5" t="s">
        <v>213</v>
      </c>
      <c r="J1417" s="5">
        <v>16.78856335</v>
      </c>
      <c r="K1417" s="5">
        <v>-96.900044980000004</v>
      </c>
      <c r="L1417" s="5" t="str">
        <f>HYPERLINK("https://maps.google.com/?q=16.78856335,-96.900044980000004", "🔗 Ver Mapa")</f>
        <v>🔗 Ver Mapa</v>
      </c>
    </row>
    <row r="1418" spans="1:12" ht="43.5" x14ac:dyDescent="0.35">
      <c r="A1418" s="6" t="s">
        <v>206</v>
      </c>
      <c r="B1418" s="6" t="s">
        <v>207</v>
      </c>
      <c r="C1418" s="6" t="s">
        <v>252</v>
      </c>
      <c r="D1418" s="6" t="s">
        <v>34</v>
      </c>
      <c r="E1418" s="6" t="s">
        <v>37</v>
      </c>
      <c r="F1418" s="6" t="s">
        <v>253</v>
      </c>
      <c r="G1418" s="6" t="s">
        <v>254</v>
      </c>
      <c r="H1418" s="6" t="s">
        <v>255</v>
      </c>
      <c r="I1418" s="6" t="s">
        <v>213</v>
      </c>
      <c r="J1418" s="6">
        <v>16.788568260000002</v>
      </c>
      <c r="K1418" s="6">
        <v>-96.915457919999994</v>
      </c>
      <c r="L1418" s="6" t="str">
        <f>HYPERLINK("https://maps.google.com/?q=16.78856826,-96.915457919999994", "🔗 Ver Mapa")</f>
        <v>🔗 Ver Mapa</v>
      </c>
    </row>
    <row r="1419" spans="1:12" ht="43.5" x14ac:dyDescent="0.35">
      <c r="A1419" s="5" t="s">
        <v>206</v>
      </c>
      <c r="B1419" s="5" t="s">
        <v>207</v>
      </c>
      <c r="C1419" s="5" t="s">
        <v>252</v>
      </c>
      <c r="D1419" s="5" t="s">
        <v>34</v>
      </c>
      <c r="E1419" s="5" t="s">
        <v>37</v>
      </c>
      <c r="F1419" s="5" t="s">
        <v>253</v>
      </c>
      <c r="G1419" s="5" t="s">
        <v>254</v>
      </c>
      <c r="H1419" s="5" t="s">
        <v>255</v>
      </c>
      <c r="I1419" s="5" t="s">
        <v>213</v>
      </c>
      <c r="J1419" s="5">
        <v>16.788594490000001</v>
      </c>
      <c r="K1419" s="5">
        <v>-96.893518</v>
      </c>
      <c r="L1419" s="5" t="str">
        <f>HYPERLINK("https://maps.google.com/?q=16.78859449,-96.893518", "🔗 Ver Mapa")</f>
        <v>🔗 Ver Mapa</v>
      </c>
    </row>
    <row r="1420" spans="1:12" ht="43.5" x14ac:dyDescent="0.35">
      <c r="A1420" s="6" t="s">
        <v>206</v>
      </c>
      <c r="B1420" s="6" t="s">
        <v>207</v>
      </c>
      <c r="C1420" s="6" t="s">
        <v>252</v>
      </c>
      <c r="D1420" s="6" t="s">
        <v>34</v>
      </c>
      <c r="E1420" s="6" t="s">
        <v>37</v>
      </c>
      <c r="F1420" s="6" t="s">
        <v>253</v>
      </c>
      <c r="G1420" s="6" t="s">
        <v>254</v>
      </c>
      <c r="H1420" s="6" t="s">
        <v>255</v>
      </c>
      <c r="I1420" s="6" t="s">
        <v>213</v>
      </c>
      <c r="J1420" s="6">
        <v>16.788598199999999</v>
      </c>
      <c r="K1420" s="6">
        <v>-96.914885600000005</v>
      </c>
      <c r="L1420" s="6" t="str">
        <f>HYPERLINK("https://maps.google.com/?q=16.7885982,-96.914885600000005", "🔗 Ver Mapa")</f>
        <v>🔗 Ver Mapa</v>
      </c>
    </row>
    <row r="1421" spans="1:12" ht="43.5" x14ac:dyDescent="0.35">
      <c r="A1421" s="5" t="s">
        <v>206</v>
      </c>
      <c r="B1421" s="5" t="s">
        <v>207</v>
      </c>
      <c r="C1421" s="5" t="s">
        <v>252</v>
      </c>
      <c r="D1421" s="5" t="s">
        <v>34</v>
      </c>
      <c r="E1421" s="5" t="s">
        <v>37</v>
      </c>
      <c r="F1421" s="5" t="s">
        <v>253</v>
      </c>
      <c r="G1421" s="5" t="s">
        <v>254</v>
      </c>
      <c r="H1421" s="5" t="s">
        <v>255</v>
      </c>
      <c r="I1421" s="5" t="s">
        <v>213</v>
      </c>
      <c r="J1421" s="5">
        <v>16.788598279999999</v>
      </c>
      <c r="K1421" s="5">
        <v>-96.914082899999997</v>
      </c>
      <c r="L1421" s="5" t="str">
        <f>HYPERLINK("https://maps.google.com/?q=16.78859828,-96.914082899999997", "🔗 Ver Mapa")</f>
        <v>🔗 Ver Mapa</v>
      </c>
    </row>
    <row r="1422" spans="1:12" ht="43.5" x14ac:dyDescent="0.35">
      <c r="A1422" s="6" t="s">
        <v>206</v>
      </c>
      <c r="B1422" s="6" t="s">
        <v>207</v>
      </c>
      <c r="C1422" s="6" t="s">
        <v>252</v>
      </c>
      <c r="D1422" s="6" t="s">
        <v>34</v>
      </c>
      <c r="E1422" s="6" t="s">
        <v>37</v>
      </c>
      <c r="F1422" s="6" t="s">
        <v>253</v>
      </c>
      <c r="G1422" s="6" t="s">
        <v>254</v>
      </c>
      <c r="H1422" s="6" t="s">
        <v>255</v>
      </c>
      <c r="I1422" s="6" t="s">
        <v>213</v>
      </c>
      <c r="J1422" s="6">
        <v>16.788603739999999</v>
      </c>
      <c r="K1422" s="6">
        <v>-96.915041040000006</v>
      </c>
      <c r="L1422" s="6" t="str">
        <f>HYPERLINK("https://maps.google.com/?q=16.78860374,-96.915041040000006", "🔗 Ver Mapa")</f>
        <v>🔗 Ver Mapa</v>
      </c>
    </row>
    <row r="1423" spans="1:12" ht="43.5" x14ac:dyDescent="0.35">
      <c r="A1423" s="5" t="s">
        <v>206</v>
      </c>
      <c r="B1423" s="5" t="s">
        <v>207</v>
      </c>
      <c r="C1423" s="5" t="s">
        <v>252</v>
      </c>
      <c r="D1423" s="5" t="s">
        <v>34</v>
      </c>
      <c r="E1423" s="5" t="s">
        <v>37</v>
      </c>
      <c r="F1423" s="5" t="s">
        <v>253</v>
      </c>
      <c r="G1423" s="5" t="s">
        <v>254</v>
      </c>
      <c r="H1423" s="5" t="s">
        <v>255</v>
      </c>
      <c r="I1423" s="5" t="s">
        <v>213</v>
      </c>
      <c r="J1423" s="5">
        <v>16.788603800000001</v>
      </c>
      <c r="K1423" s="5">
        <v>-96.898100499999998</v>
      </c>
      <c r="L1423" s="5" t="str">
        <f>HYPERLINK("https://maps.google.com/?q=16.7886038,-96.898100499999998", "🔗 Ver Mapa")</f>
        <v>🔗 Ver Mapa</v>
      </c>
    </row>
    <row r="1424" spans="1:12" ht="43.5" x14ac:dyDescent="0.35">
      <c r="A1424" s="6" t="s">
        <v>206</v>
      </c>
      <c r="B1424" s="6" t="s">
        <v>207</v>
      </c>
      <c r="C1424" s="6" t="s">
        <v>252</v>
      </c>
      <c r="D1424" s="6" t="s">
        <v>34</v>
      </c>
      <c r="E1424" s="6" t="s">
        <v>37</v>
      </c>
      <c r="F1424" s="6" t="s">
        <v>253</v>
      </c>
      <c r="G1424" s="6" t="s">
        <v>254</v>
      </c>
      <c r="H1424" s="6" t="s">
        <v>255</v>
      </c>
      <c r="I1424" s="6" t="s">
        <v>213</v>
      </c>
      <c r="J1424" s="6">
        <v>16.788613860000002</v>
      </c>
      <c r="K1424" s="6">
        <v>-96.913005229999996</v>
      </c>
      <c r="L1424" s="6" t="str">
        <f>HYPERLINK("https://maps.google.com/?q=16.78861386,-96.913005229999996", "🔗 Ver Mapa")</f>
        <v>🔗 Ver Mapa</v>
      </c>
    </row>
    <row r="1425" spans="1:12" ht="43.5" x14ac:dyDescent="0.35">
      <c r="A1425" s="5" t="s">
        <v>206</v>
      </c>
      <c r="B1425" s="5" t="s">
        <v>207</v>
      </c>
      <c r="C1425" s="5" t="s">
        <v>252</v>
      </c>
      <c r="D1425" s="5" t="s">
        <v>34</v>
      </c>
      <c r="E1425" s="5" t="s">
        <v>37</v>
      </c>
      <c r="F1425" s="5" t="s">
        <v>253</v>
      </c>
      <c r="G1425" s="5" t="s">
        <v>254</v>
      </c>
      <c r="H1425" s="5" t="s">
        <v>255</v>
      </c>
      <c r="I1425" s="5" t="s">
        <v>213</v>
      </c>
      <c r="J1425" s="5">
        <v>16.788636019999998</v>
      </c>
      <c r="K1425" s="5">
        <v>-96.894078590000007</v>
      </c>
      <c r="L1425" s="5" t="str">
        <f>HYPERLINK("https://maps.google.com/?q=16.78863602,-96.894078590000007", "🔗 Ver Mapa")</f>
        <v>🔗 Ver Mapa</v>
      </c>
    </row>
    <row r="1426" spans="1:12" ht="43.5" x14ac:dyDescent="0.35">
      <c r="A1426" s="6" t="s">
        <v>206</v>
      </c>
      <c r="B1426" s="6" t="s">
        <v>207</v>
      </c>
      <c r="C1426" s="6" t="s">
        <v>252</v>
      </c>
      <c r="D1426" s="6" t="s">
        <v>34</v>
      </c>
      <c r="E1426" s="6" t="s">
        <v>37</v>
      </c>
      <c r="F1426" s="6" t="s">
        <v>253</v>
      </c>
      <c r="G1426" s="6" t="s">
        <v>254</v>
      </c>
      <c r="H1426" s="6" t="s">
        <v>255</v>
      </c>
      <c r="I1426" s="6" t="s">
        <v>213</v>
      </c>
      <c r="J1426" s="6">
        <v>16.78865205</v>
      </c>
      <c r="K1426" s="6">
        <v>-96.915691949999996</v>
      </c>
      <c r="L1426" s="6" t="str">
        <f>HYPERLINK("https://maps.google.com/?q=16.78865205,-96.915691949999996", "🔗 Ver Mapa")</f>
        <v>🔗 Ver Mapa</v>
      </c>
    </row>
    <row r="1427" spans="1:12" ht="43.5" x14ac:dyDescent="0.35">
      <c r="A1427" s="5" t="s">
        <v>206</v>
      </c>
      <c r="B1427" s="5" t="s">
        <v>207</v>
      </c>
      <c r="C1427" s="5" t="s">
        <v>252</v>
      </c>
      <c r="D1427" s="5" t="s">
        <v>34</v>
      </c>
      <c r="E1427" s="5" t="s">
        <v>37</v>
      </c>
      <c r="F1427" s="5" t="s">
        <v>253</v>
      </c>
      <c r="G1427" s="5" t="s">
        <v>254</v>
      </c>
      <c r="H1427" s="5" t="s">
        <v>255</v>
      </c>
      <c r="I1427" s="5" t="s">
        <v>213</v>
      </c>
      <c r="J1427" s="5">
        <v>16.788660190000002</v>
      </c>
      <c r="K1427" s="5">
        <v>-96.913766370000005</v>
      </c>
      <c r="L1427" s="5" t="str">
        <f>HYPERLINK("https://maps.google.com/?q=16.78866019,-96.913766370000005", "🔗 Ver Mapa")</f>
        <v>🔗 Ver Mapa</v>
      </c>
    </row>
    <row r="1428" spans="1:12" ht="43.5" x14ac:dyDescent="0.35">
      <c r="A1428" s="6" t="s">
        <v>206</v>
      </c>
      <c r="B1428" s="6" t="s">
        <v>207</v>
      </c>
      <c r="C1428" s="6" t="s">
        <v>252</v>
      </c>
      <c r="D1428" s="6" t="s">
        <v>34</v>
      </c>
      <c r="E1428" s="6" t="s">
        <v>37</v>
      </c>
      <c r="F1428" s="6" t="s">
        <v>253</v>
      </c>
      <c r="G1428" s="6" t="s">
        <v>254</v>
      </c>
      <c r="H1428" s="6" t="s">
        <v>255</v>
      </c>
      <c r="I1428" s="6" t="s">
        <v>213</v>
      </c>
      <c r="J1428" s="6">
        <v>16.78866485</v>
      </c>
      <c r="K1428" s="6">
        <v>-96.895471310000005</v>
      </c>
      <c r="L1428" s="6" t="str">
        <f>HYPERLINK("https://maps.google.com/?q=16.78866485,-96.895471310000005", "🔗 Ver Mapa")</f>
        <v>🔗 Ver Mapa</v>
      </c>
    </row>
    <row r="1429" spans="1:12" ht="43.5" x14ac:dyDescent="0.35">
      <c r="A1429" s="5" t="s">
        <v>206</v>
      </c>
      <c r="B1429" s="5" t="s">
        <v>207</v>
      </c>
      <c r="C1429" s="5" t="s">
        <v>252</v>
      </c>
      <c r="D1429" s="5" t="s">
        <v>34</v>
      </c>
      <c r="E1429" s="5" t="s">
        <v>37</v>
      </c>
      <c r="F1429" s="5" t="s">
        <v>253</v>
      </c>
      <c r="G1429" s="5" t="s">
        <v>254</v>
      </c>
      <c r="H1429" s="5" t="s">
        <v>255</v>
      </c>
      <c r="I1429" s="5" t="s">
        <v>213</v>
      </c>
      <c r="J1429" s="5">
        <v>16.788677379999999</v>
      </c>
      <c r="K1429" s="5">
        <v>-96.913952390000006</v>
      </c>
      <c r="L1429" s="5" t="str">
        <f>HYPERLINK("https://maps.google.com/?q=16.78867738,-96.913952390000006", "🔗 Ver Mapa")</f>
        <v>🔗 Ver Mapa</v>
      </c>
    </row>
    <row r="1430" spans="1:12" ht="43.5" x14ac:dyDescent="0.35">
      <c r="A1430" s="6" t="s">
        <v>206</v>
      </c>
      <c r="B1430" s="6" t="s">
        <v>207</v>
      </c>
      <c r="C1430" s="6" t="s">
        <v>252</v>
      </c>
      <c r="D1430" s="6" t="s">
        <v>34</v>
      </c>
      <c r="E1430" s="6" t="s">
        <v>37</v>
      </c>
      <c r="F1430" s="6" t="s">
        <v>253</v>
      </c>
      <c r="G1430" s="6" t="s">
        <v>254</v>
      </c>
      <c r="H1430" s="6" t="s">
        <v>255</v>
      </c>
      <c r="I1430" s="6" t="s">
        <v>213</v>
      </c>
      <c r="J1430" s="6">
        <v>16.788681610000001</v>
      </c>
      <c r="K1430" s="6">
        <v>-96.894468140000001</v>
      </c>
      <c r="L1430" s="6" t="str">
        <f>HYPERLINK("https://maps.google.com/?q=16.78868161,-96.894468140000001", "🔗 Ver Mapa")</f>
        <v>🔗 Ver Mapa</v>
      </c>
    </row>
    <row r="1431" spans="1:12" ht="43.5" x14ac:dyDescent="0.35">
      <c r="A1431" s="5" t="s">
        <v>206</v>
      </c>
      <c r="B1431" s="5" t="s">
        <v>207</v>
      </c>
      <c r="C1431" s="5" t="s">
        <v>252</v>
      </c>
      <c r="D1431" s="5" t="s">
        <v>34</v>
      </c>
      <c r="E1431" s="5" t="s">
        <v>37</v>
      </c>
      <c r="F1431" s="5" t="s">
        <v>253</v>
      </c>
      <c r="G1431" s="5" t="s">
        <v>254</v>
      </c>
      <c r="H1431" s="5" t="s">
        <v>255</v>
      </c>
      <c r="I1431" s="5" t="s">
        <v>213</v>
      </c>
      <c r="J1431" s="5">
        <v>16.78868748</v>
      </c>
      <c r="K1431" s="5">
        <v>-96.917864059999999</v>
      </c>
      <c r="L1431" s="5" t="str">
        <f>HYPERLINK("https://maps.google.com/?q=16.78868748,-96.917864059999999", "🔗 Ver Mapa")</f>
        <v>🔗 Ver Mapa</v>
      </c>
    </row>
    <row r="1432" spans="1:12" ht="43.5" x14ac:dyDescent="0.35">
      <c r="A1432" s="6" t="s">
        <v>206</v>
      </c>
      <c r="B1432" s="6" t="s">
        <v>207</v>
      </c>
      <c r="C1432" s="6" t="s">
        <v>252</v>
      </c>
      <c r="D1432" s="6" t="s">
        <v>34</v>
      </c>
      <c r="E1432" s="6" t="s">
        <v>37</v>
      </c>
      <c r="F1432" s="6" t="s">
        <v>253</v>
      </c>
      <c r="G1432" s="6" t="s">
        <v>254</v>
      </c>
      <c r="H1432" s="6" t="s">
        <v>255</v>
      </c>
      <c r="I1432" s="6" t="s">
        <v>213</v>
      </c>
      <c r="J1432" s="6">
        <v>16.788688910000001</v>
      </c>
      <c r="K1432" s="6">
        <v>-96.913149989999994</v>
      </c>
      <c r="L1432" s="6" t="str">
        <f>HYPERLINK("https://maps.google.com/?q=16.78868891,-96.913149989999994", "🔗 Ver Mapa")</f>
        <v>🔗 Ver Mapa</v>
      </c>
    </row>
    <row r="1433" spans="1:12" ht="43.5" x14ac:dyDescent="0.35">
      <c r="A1433" s="5" t="s">
        <v>206</v>
      </c>
      <c r="B1433" s="5" t="s">
        <v>207</v>
      </c>
      <c r="C1433" s="5" t="s">
        <v>252</v>
      </c>
      <c r="D1433" s="5" t="s">
        <v>34</v>
      </c>
      <c r="E1433" s="5" t="s">
        <v>37</v>
      </c>
      <c r="F1433" s="5" t="s">
        <v>253</v>
      </c>
      <c r="G1433" s="5" t="s">
        <v>254</v>
      </c>
      <c r="H1433" s="5" t="s">
        <v>255</v>
      </c>
      <c r="I1433" s="5" t="s">
        <v>213</v>
      </c>
      <c r="J1433" s="5">
        <v>16.788697979999998</v>
      </c>
      <c r="K1433" s="5">
        <v>-96.913635400000004</v>
      </c>
      <c r="L1433" s="5" t="str">
        <f>HYPERLINK("https://maps.google.com/?q=16.78869798,-96.913635400000004", "🔗 Ver Mapa")</f>
        <v>🔗 Ver Mapa</v>
      </c>
    </row>
    <row r="1434" spans="1:12" ht="43.5" x14ac:dyDescent="0.35">
      <c r="A1434" s="6" t="s">
        <v>206</v>
      </c>
      <c r="B1434" s="6" t="s">
        <v>207</v>
      </c>
      <c r="C1434" s="6" t="s">
        <v>252</v>
      </c>
      <c r="D1434" s="6" t="s">
        <v>34</v>
      </c>
      <c r="E1434" s="6" t="s">
        <v>37</v>
      </c>
      <c r="F1434" s="6" t="s">
        <v>253</v>
      </c>
      <c r="G1434" s="6" t="s">
        <v>254</v>
      </c>
      <c r="H1434" s="6" t="s">
        <v>255</v>
      </c>
      <c r="I1434" s="6" t="s">
        <v>213</v>
      </c>
      <c r="J1434" s="6">
        <v>16.788711200000002</v>
      </c>
      <c r="K1434" s="6">
        <v>-96.895290059999994</v>
      </c>
      <c r="L1434" s="6" t="str">
        <f>HYPERLINK("https://maps.google.com/?q=16.7887112,-96.895290059999994", "🔗 Ver Mapa")</f>
        <v>🔗 Ver Mapa</v>
      </c>
    </row>
    <row r="1435" spans="1:12" ht="43.5" x14ac:dyDescent="0.35">
      <c r="A1435" s="5" t="s">
        <v>206</v>
      </c>
      <c r="B1435" s="5" t="s">
        <v>207</v>
      </c>
      <c r="C1435" s="5" t="s">
        <v>252</v>
      </c>
      <c r="D1435" s="5" t="s">
        <v>34</v>
      </c>
      <c r="E1435" s="5" t="s">
        <v>37</v>
      </c>
      <c r="F1435" s="5" t="s">
        <v>253</v>
      </c>
      <c r="G1435" s="5" t="s">
        <v>254</v>
      </c>
      <c r="H1435" s="5" t="s">
        <v>255</v>
      </c>
      <c r="I1435" s="5" t="s">
        <v>213</v>
      </c>
      <c r="J1435" s="5">
        <v>16.788721850000002</v>
      </c>
      <c r="K1435" s="5">
        <v>-96.905094160000004</v>
      </c>
      <c r="L1435" s="5" t="str">
        <f>HYPERLINK("https://maps.google.com/?q=16.78872185,-96.905094160000004", "🔗 Ver Mapa")</f>
        <v>🔗 Ver Mapa</v>
      </c>
    </row>
    <row r="1436" spans="1:12" ht="43.5" x14ac:dyDescent="0.35">
      <c r="A1436" s="6" t="s">
        <v>206</v>
      </c>
      <c r="B1436" s="6" t="s">
        <v>207</v>
      </c>
      <c r="C1436" s="6" t="s">
        <v>252</v>
      </c>
      <c r="D1436" s="6" t="s">
        <v>34</v>
      </c>
      <c r="E1436" s="6" t="s">
        <v>37</v>
      </c>
      <c r="F1436" s="6" t="s">
        <v>253</v>
      </c>
      <c r="G1436" s="6" t="s">
        <v>254</v>
      </c>
      <c r="H1436" s="6" t="s">
        <v>255</v>
      </c>
      <c r="I1436" s="6" t="s">
        <v>213</v>
      </c>
      <c r="J1436" s="6">
        <v>16.788734640000001</v>
      </c>
      <c r="K1436" s="6">
        <v>-96.893319840000004</v>
      </c>
      <c r="L1436" s="6" t="str">
        <f>HYPERLINK("https://maps.google.com/?q=16.78873464,-96.893319840000004", "🔗 Ver Mapa")</f>
        <v>🔗 Ver Mapa</v>
      </c>
    </row>
    <row r="1437" spans="1:12" ht="43.5" x14ac:dyDescent="0.35">
      <c r="A1437" s="5" t="s">
        <v>206</v>
      </c>
      <c r="B1437" s="5" t="s">
        <v>207</v>
      </c>
      <c r="C1437" s="5" t="s">
        <v>252</v>
      </c>
      <c r="D1437" s="5" t="s">
        <v>34</v>
      </c>
      <c r="E1437" s="5" t="s">
        <v>37</v>
      </c>
      <c r="F1437" s="5" t="s">
        <v>253</v>
      </c>
      <c r="G1437" s="5" t="s">
        <v>254</v>
      </c>
      <c r="H1437" s="5" t="s">
        <v>255</v>
      </c>
      <c r="I1437" s="5" t="s">
        <v>213</v>
      </c>
      <c r="J1437" s="5">
        <v>16.788740010000001</v>
      </c>
      <c r="K1437" s="5">
        <v>-96.913478130000001</v>
      </c>
      <c r="L1437" s="5" t="str">
        <f>HYPERLINK("https://maps.google.com/?q=16.78874001,-96.913478130000001", "🔗 Ver Mapa")</f>
        <v>🔗 Ver Mapa</v>
      </c>
    </row>
    <row r="1438" spans="1:12" ht="43.5" x14ac:dyDescent="0.35">
      <c r="A1438" s="6" t="s">
        <v>206</v>
      </c>
      <c r="B1438" s="6" t="s">
        <v>207</v>
      </c>
      <c r="C1438" s="6" t="s">
        <v>252</v>
      </c>
      <c r="D1438" s="6" t="s">
        <v>34</v>
      </c>
      <c r="E1438" s="6" t="s">
        <v>37</v>
      </c>
      <c r="F1438" s="6" t="s">
        <v>253</v>
      </c>
      <c r="G1438" s="6" t="s">
        <v>254</v>
      </c>
      <c r="H1438" s="6" t="s">
        <v>255</v>
      </c>
      <c r="I1438" s="6" t="s">
        <v>213</v>
      </c>
      <c r="J1438" s="6">
        <v>16.78875051</v>
      </c>
      <c r="K1438" s="6">
        <v>-96.89309772</v>
      </c>
      <c r="L1438" s="6" t="str">
        <f>HYPERLINK("https://maps.google.com/?q=16.78875051,-96.89309772", "🔗 Ver Mapa")</f>
        <v>🔗 Ver Mapa</v>
      </c>
    </row>
    <row r="1439" spans="1:12" ht="43.5" x14ac:dyDescent="0.35">
      <c r="A1439" s="5" t="s">
        <v>206</v>
      </c>
      <c r="B1439" s="5" t="s">
        <v>207</v>
      </c>
      <c r="C1439" s="5" t="s">
        <v>252</v>
      </c>
      <c r="D1439" s="5" t="s">
        <v>34</v>
      </c>
      <c r="E1439" s="5" t="s">
        <v>37</v>
      </c>
      <c r="F1439" s="5" t="s">
        <v>253</v>
      </c>
      <c r="G1439" s="5" t="s">
        <v>254</v>
      </c>
      <c r="H1439" s="5" t="s">
        <v>255</v>
      </c>
      <c r="I1439" s="5" t="s">
        <v>213</v>
      </c>
      <c r="J1439" s="5">
        <v>16.788762439999999</v>
      </c>
      <c r="K1439" s="5">
        <v>-96.913317149999997</v>
      </c>
      <c r="L1439" s="5" t="str">
        <f>HYPERLINK("https://maps.google.com/?q=16.78876244,-96.913317149999997", "🔗 Ver Mapa")</f>
        <v>🔗 Ver Mapa</v>
      </c>
    </row>
    <row r="1440" spans="1:12" ht="43.5" x14ac:dyDescent="0.35">
      <c r="A1440" s="6" t="s">
        <v>206</v>
      </c>
      <c r="B1440" s="6" t="s">
        <v>207</v>
      </c>
      <c r="C1440" s="6" t="s">
        <v>252</v>
      </c>
      <c r="D1440" s="6" t="s">
        <v>34</v>
      </c>
      <c r="E1440" s="6" t="s">
        <v>37</v>
      </c>
      <c r="F1440" s="6" t="s">
        <v>253</v>
      </c>
      <c r="G1440" s="6" t="s">
        <v>254</v>
      </c>
      <c r="H1440" s="6" t="s">
        <v>255</v>
      </c>
      <c r="I1440" s="6" t="s">
        <v>213</v>
      </c>
      <c r="J1440" s="6">
        <v>16.788762989999999</v>
      </c>
      <c r="K1440" s="6">
        <v>-96.917388579999994</v>
      </c>
      <c r="L1440" s="6" t="str">
        <f>HYPERLINK("https://maps.google.com/?q=16.78876299,-96.917388579999994", "🔗 Ver Mapa")</f>
        <v>🔗 Ver Mapa</v>
      </c>
    </row>
    <row r="1441" spans="1:12" ht="43.5" x14ac:dyDescent="0.35">
      <c r="A1441" s="5" t="s">
        <v>206</v>
      </c>
      <c r="B1441" s="5" t="s">
        <v>207</v>
      </c>
      <c r="C1441" s="5" t="s">
        <v>252</v>
      </c>
      <c r="D1441" s="5" t="s">
        <v>34</v>
      </c>
      <c r="E1441" s="5" t="s">
        <v>37</v>
      </c>
      <c r="F1441" s="5" t="s">
        <v>253</v>
      </c>
      <c r="G1441" s="5" t="s">
        <v>254</v>
      </c>
      <c r="H1441" s="5" t="s">
        <v>255</v>
      </c>
      <c r="I1441" s="5" t="s">
        <v>213</v>
      </c>
      <c r="J1441" s="5">
        <v>16.78876468</v>
      </c>
      <c r="K1441" s="5">
        <v>-96.897183369999993</v>
      </c>
      <c r="L1441" s="5" t="str">
        <f>HYPERLINK("https://maps.google.com/?q=16.78876468,-96.897183369999993", "🔗 Ver Mapa")</f>
        <v>🔗 Ver Mapa</v>
      </c>
    </row>
    <row r="1442" spans="1:12" ht="43.5" x14ac:dyDescent="0.35">
      <c r="A1442" s="6" t="s">
        <v>206</v>
      </c>
      <c r="B1442" s="6" t="s">
        <v>207</v>
      </c>
      <c r="C1442" s="6" t="s">
        <v>252</v>
      </c>
      <c r="D1442" s="6" t="s">
        <v>34</v>
      </c>
      <c r="E1442" s="6" t="s">
        <v>37</v>
      </c>
      <c r="F1442" s="6" t="s">
        <v>253</v>
      </c>
      <c r="G1442" s="6" t="s">
        <v>254</v>
      </c>
      <c r="H1442" s="6" t="s">
        <v>255</v>
      </c>
      <c r="I1442" s="6" t="s">
        <v>213</v>
      </c>
      <c r="J1442" s="6">
        <v>16.788773689999999</v>
      </c>
      <c r="K1442" s="6">
        <v>-96.900320910000005</v>
      </c>
      <c r="L1442" s="6" t="str">
        <f>HYPERLINK("https://maps.google.com/?q=16.78877369,-96.900320910000005", "🔗 Ver Mapa")</f>
        <v>🔗 Ver Mapa</v>
      </c>
    </row>
    <row r="1443" spans="1:12" ht="43.5" x14ac:dyDescent="0.35">
      <c r="A1443" s="5" t="s">
        <v>206</v>
      </c>
      <c r="B1443" s="5" t="s">
        <v>207</v>
      </c>
      <c r="C1443" s="5" t="s">
        <v>252</v>
      </c>
      <c r="D1443" s="5" t="s">
        <v>34</v>
      </c>
      <c r="E1443" s="5" t="s">
        <v>37</v>
      </c>
      <c r="F1443" s="5" t="s">
        <v>253</v>
      </c>
      <c r="G1443" s="5" t="s">
        <v>254</v>
      </c>
      <c r="H1443" s="5" t="s">
        <v>255</v>
      </c>
      <c r="I1443" s="5" t="s">
        <v>213</v>
      </c>
      <c r="J1443" s="5">
        <v>16.788776070000001</v>
      </c>
      <c r="K1443" s="5">
        <v>-96.917993510000002</v>
      </c>
      <c r="L1443" s="5" t="str">
        <f>HYPERLINK("https://maps.google.com/?q=16.78877607,-96.917993510000002", "🔗 Ver Mapa")</f>
        <v>🔗 Ver Mapa</v>
      </c>
    </row>
    <row r="1444" spans="1:12" ht="43.5" x14ac:dyDescent="0.35">
      <c r="A1444" s="6" t="s">
        <v>206</v>
      </c>
      <c r="B1444" s="6" t="s">
        <v>207</v>
      </c>
      <c r="C1444" s="6" t="s">
        <v>252</v>
      </c>
      <c r="D1444" s="6" t="s">
        <v>34</v>
      </c>
      <c r="E1444" s="6" t="s">
        <v>37</v>
      </c>
      <c r="F1444" s="6" t="s">
        <v>253</v>
      </c>
      <c r="G1444" s="6" t="s">
        <v>254</v>
      </c>
      <c r="H1444" s="6" t="s">
        <v>255</v>
      </c>
      <c r="I1444" s="6" t="s">
        <v>213</v>
      </c>
      <c r="J1444" s="6">
        <v>16.788778310000001</v>
      </c>
      <c r="K1444" s="6">
        <v>-96.916046339999994</v>
      </c>
      <c r="L1444" s="6" t="str">
        <f>HYPERLINK("https://maps.google.com/?q=16.78877831,-96.916046339999994", "🔗 Ver Mapa")</f>
        <v>🔗 Ver Mapa</v>
      </c>
    </row>
    <row r="1445" spans="1:12" ht="43.5" x14ac:dyDescent="0.35">
      <c r="A1445" s="5" t="s">
        <v>206</v>
      </c>
      <c r="B1445" s="5" t="s">
        <v>207</v>
      </c>
      <c r="C1445" s="5" t="s">
        <v>252</v>
      </c>
      <c r="D1445" s="5" t="s">
        <v>34</v>
      </c>
      <c r="E1445" s="5" t="s">
        <v>37</v>
      </c>
      <c r="F1445" s="5" t="s">
        <v>253</v>
      </c>
      <c r="G1445" s="5" t="s">
        <v>254</v>
      </c>
      <c r="H1445" s="5" t="s">
        <v>255</v>
      </c>
      <c r="I1445" s="5" t="s">
        <v>213</v>
      </c>
      <c r="J1445" s="5">
        <v>16.788780620000001</v>
      </c>
      <c r="K1445" s="5">
        <v>-96.917647810000005</v>
      </c>
      <c r="L1445" s="5" t="str">
        <f>HYPERLINK("https://maps.google.com/?q=16.78878062,-96.917647810000005", "🔗 Ver Mapa")</f>
        <v>🔗 Ver Mapa</v>
      </c>
    </row>
    <row r="1446" spans="1:12" ht="43.5" x14ac:dyDescent="0.35">
      <c r="A1446" s="6" t="s">
        <v>206</v>
      </c>
      <c r="B1446" s="6" t="s">
        <v>207</v>
      </c>
      <c r="C1446" s="6" t="s">
        <v>252</v>
      </c>
      <c r="D1446" s="6" t="s">
        <v>34</v>
      </c>
      <c r="E1446" s="6" t="s">
        <v>37</v>
      </c>
      <c r="F1446" s="6" t="s">
        <v>253</v>
      </c>
      <c r="G1446" s="6" t="s">
        <v>254</v>
      </c>
      <c r="H1446" s="6" t="s">
        <v>255</v>
      </c>
      <c r="I1446" s="6" t="s">
        <v>213</v>
      </c>
      <c r="J1446" s="6">
        <v>16.788791069999998</v>
      </c>
      <c r="K1446" s="6">
        <v>-96.897933109999997</v>
      </c>
      <c r="L1446" s="6" t="str">
        <f>HYPERLINK("https://maps.google.com/?q=16.78879107,-96.897933109999997", "🔗 Ver Mapa")</f>
        <v>🔗 Ver Mapa</v>
      </c>
    </row>
    <row r="1447" spans="1:12" ht="43.5" x14ac:dyDescent="0.35">
      <c r="A1447" s="5" t="s">
        <v>206</v>
      </c>
      <c r="B1447" s="5" t="s">
        <v>207</v>
      </c>
      <c r="C1447" s="5" t="s">
        <v>252</v>
      </c>
      <c r="D1447" s="5" t="s">
        <v>34</v>
      </c>
      <c r="E1447" s="5" t="s">
        <v>37</v>
      </c>
      <c r="F1447" s="5" t="s">
        <v>253</v>
      </c>
      <c r="G1447" s="5" t="s">
        <v>254</v>
      </c>
      <c r="H1447" s="5" t="s">
        <v>255</v>
      </c>
      <c r="I1447" s="5" t="s">
        <v>213</v>
      </c>
      <c r="J1447" s="5">
        <v>16.788803640000001</v>
      </c>
      <c r="K1447" s="5">
        <v>-96.904786770000001</v>
      </c>
      <c r="L1447" s="5" t="str">
        <f>HYPERLINK("https://maps.google.com/?q=16.78880364,-96.904786770000001", "🔗 Ver Mapa")</f>
        <v>🔗 Ver Mapa</v>
      </c>
    </row>
    <row r="1448" spans="1:12" ht="43.5" x14ac:dyDescent="0.35">
      <c r="A1448" s="6" t="s">
        <v>206</v>
      </c>
      <c r="B1448" s="6" t="s">
        <v>207</v>
      </c>
      <c r="C1448" s="6" t="s">
        <v>252</v>
      </c>
      <c r="D1448" s="6" t="s">
        <v>34</v>
      </c>
      <c r="E1448" s="6" t="s">
        <v>37</v>
      </c>
      <c r="F1448" s="6" t="s">
        <v>253</v>
      </c>
      <c r="G1448" s="6" t="s">
        <v>254</v>
      </c>
      <c r="H1448" s="6" t="s">
        <v>255</v>
      </c>
      <c r="I1448" s="6" t="s">
        <v>213</v>
      </c>
      <c r="J1448" s="6">
        <v>16.788812660000001</v>
      </c>
      <c r="K1448" s="6">
        <v>-96.893989230000003</v>
      </c>
      <c r="L1448" s="6" t="str">
        <f>HYPERLINK("https://maps.google.com/?q=16.78881266,-96.893989230000003", "🔗 Ver Mapa")</f>
        <v>🔗 Ver Mapa</v>
      </c>
    </row>
    <row r="1449" spans="1:12" ht="43.5" x14ac:dyDescent="0.35">
      <c r="A1449" s="5" t="s">
        <v>206</v>
      </c>
      <c r="B1449" s="5" t="s">
        <v>207</v>
      </c>
      <c r="C1449" s="5" t="s">
        <v>252</v>
      </c>
      <c r="D1449" s="5" t="s">
        <v>34</v>
      </c>
      <c r="E1449" s="5" t="s">
        <v>37</v>
      </c>
      <c r="F1449" s="5" t="s">
        <v>253</v>
      </c>
      <c r="G1449" s="5" t="s">
        <v>254</v>
      </c>
      <c r="H1449" s="5" t="s">
        <v>255</v>
      </c>
      <c r="I1449" s="5" t="s">
        <v>213</v>
      </c>
      <c r="J1449" s="5">
        <v>16.788816109999999</v>
      </c>
      <c r="K1449" s="5">
        <v>-96.916751480000002</v>
      </c>
      <c r="L1449" s="5" t="str">
        <f>HYPERLINK("https://maps.google.com/?q=16.78881611,-96.916751480000002", "🔗 Ver Mapa")</f>
        <v>🔗 Ver Mapa</v>
      </c>
    </row>
    <row r="1450" spans="1:12" ht="43.5" x14ac:dyDescent="0.35">
      <c r="A1450" s="6" t="s">
        <v>206</v>
      </c>
      <c r="B1450" s="6" t="s">
        <v>207</v>
      </c>
      <c r="C1450" s="6" t="s">
        <v>252</v>
      </c>
      <c r="D1450" s="6" t="s">
        <v>34</v>
      </c>
      <c r="E1450" s="6" t="s">
        <v>37</v>
      </c>
      <c r="F1450" s="6" t="s">
        <v>253</v>
      </c>
      <c r="G1450" s="6" t="s">
        <v>254</v>
      </c>
      <c r="H1450" s="6" t="s">
        <v>255</v>
      </c>
      <c r="I1450" s="6" t="s">
        <v>213</v>
      </c>
      <c r="J1450" s="6">
        <v>16.788818190000001</v>
      </c>
      <c r="K1450" s="6">
        <v>-96.912837280000005</v>
      </c>
      <c r="L1450" s="6" t="str">
        <f>HYPERLINK("https://maps.google.com/?q=16.78881819,-96.912837280000005", "🔗 Ver Mapa")</f>
        <v>🔗 Ver Mapa</v>
      </c>
    </row>
    <row r="1451" spans="1:12" ht="43.5" x14ac:dyDescent="0.35">
      <c r="A1451" s="5" t="s">
        <v>206</v>
      </c>
      <c r="B1451" s="5" t="s">
        <v>207</v>
      </c>
      <c r="C1451" s="5" t="s">
        <v>252</v>
      </c>
      <c r="D1451" s="5" t="s">
        <v>34</v>
      </c>
      <c r="E1451" s="5" t="s">
        <v>37</v>
      </c>
      <c r="F1451" s="5" t="s">
        <v>253</v>
      </c>
      <c r="G1451" s="5" t="s">
        <v>254</v>
      </c>
      <c r="H1451" s="5" t="s">
        <v>255</v>
      </c>
      <c r="I1451" s="5" t="s">
        <v>213</v>
      </c>
      <c r="J1451" s="5">
        <v>16.78884777</v>
      </c>
      <c r="K1451" s="5">
        <v>-96.899088969999994</v>
      </c>
      <c r="L1451" s="5" t="str">
        <f>HYPERLINK("https://maps.google.com/?q=16.78884777,-96.899088969999994", "🔗 Ver Mapa")</f>
        <v>🔗 Ver Mapa</v>
      </c>
    </row>
    <row r="1452" spans="1:12" ht="43.5" x14ac:dyDescent="0.35">
      <c r="A1452" s="6" t="s">
        <v>206</v>
      </c>
      <c r="B1452" s="6" t="s">
        <v>207</v>
      </c>
      <c r="C1452" s="6" t="s">
        <v>252</v>
      </c>
      <c r="D1452" s="6" t="s">
        <v>34</v>
      </c>
      <c r="E1452" s="6" t="s">
        <v>37</v>
      </c>
      <c r="F1452" s="6" t="s">
        <v>253</v>
      </c>
      <c r="G1452" s="6" t="s">
        <v>254</v>
      </c>
      <c r="H1452" s="6" t="s">
        <v>255</v>
      </c>
      <c r="I1452" s="6" t="s">
        <v>213</v>
      </c>
      <c r="J1452" s="6">
        <v>16.78885738</v>
      </c>
      <c r="K1452" s="6">
        <v>-96.916368910000003</v>
      </c>
      <c r="L1452" s="6" t="str">
        <f>HYPERLINK("https://maps.google.com/?q=16.78885738,-96.916368910000003", "🔗 Ver Mapa")</f>
        <v>🔗 Ver Mapa</v>
      </c>
    </row>
    <row r="1453" spans="1:12" ht="43.5" x14ac:dyDescent="0.35">
      <c r="A1453" s="5" t="s">
        <v>206</v>
      </c>
      <c r="B1453" s="5" t="s">
        <v>207</v>
      </c>
      <c r="C1453" s="5" t="s">
        <v>252</v>
      </c>
      <c r="D1453" s="5" t="s">
        <v>34</v>
      </c>
      <c r="E1453" s="5" t="s">
        <v>37</v>
      </c>
      <c r="F1453" s="5" t="s">
        <v>253</v>
      </c>
      <c r="G1453" s="5" t="s">
        <v>254</v>
      </c>
      <c r="H1453" s="5" t="s">
        <v>255</v>
      </c>
      <c r="I1453" s="5" t="s">
        <v>213</v>
      </c>
      <c r="J1453" s="5">
        <v>16.788866349999999</v>
      </c>
      <c r="K1453" s="5">
        <v>-96.916975789999995</v>
      </c>
      <c r="L1453" s="5" t="str">
        <f>HYPERLINK("https://maps.google.com/?q=16.78886635,-96.916975789999995", "🔗 Ver Mapa")</f>
        <v>🔗 Ver Mapa</v>
      </c>
    </row>
    <row r="1454" spans="1:12" ht="43.5" x14ac:dyDescent="0.35">
      <c r="A1454" s="6" t="s">
        <v>206</v>
      </c>
      <c r="B1454" s="6" t="s">
        <v>207</v>
      </c>
      <c r="C1454" s="6" t="s">
        <v>252</v>
      </c>
      <c r="D1454" s="6" t="s">
        <v>34</v>
      </c>
      <c r="E1454" s="6" t="s">
        <v>37</v>
      </c>
      <c r="F1454" s="6" t="s">
        <v>253</v>
      </c>
      <c r="G1454" s="6" t="s">
        <v>254</v>
      </c>
      <c r="H1454" s="6" t="s">
        <v>255</v>
      </c>
      <c r="I1454" s="6" t="s">
        <v>213</v>
      </c>
      <c r="J1454" s="6">
        <v>16.78886958</v>
      </c>
      <c r="K1454" s="6">
        <v>-96.912581230000001</v>
      </c>
      <c r="L1454" s="6" t="str">
        <f>HYPERLINK("https://maps.google.com/?q=16.78886958,-96.912581230000001", "🔗 Ver Mapa")</f>
        <v>🔗 Ver Mapa</v>
      </c>
    </row>
    <row r="1455" spans="1:12" ht="43.5" x14ac:dyDescent="0.35">
      <c r="A1455" s="5" t="s">
        <v>206</v>
      </c>
      <c r="B1455" s="5" t="s">
        <v>207</v>
      </c>
      <c r="C1455" s="5" t="s">
        <v>252</v>
      </c>
      <c r="D1455" s="5" t="s">
        <v>34</v>
      </c>
      <c r="E1455" s="5" t="s">
        <v>37</v>
      </c>
      <c r="F1455" s="5" t="s">
        <v>253</v>
      </c>
      <c r="G1455" s="5" t="s">
        <v>254</v>
      </c>
      <c r="H1455" s="5" t="s">
        <v>255</v>
      </c>
      <c r="I1455" s="5" t="s">
        <v>213</v>
      </c>
      <c r="J1455" s="5">
        <v>16.788880750000001</v>
      </c>
      <c r="K1455" s="5">
        <v>-96.911507929999999</v>
      </c>
      <c r="L1455" s="5" t="str">
        <f>HYPERLINK("https://maps.google.com/?q=16.78888075,-96.911507929999999", "🔗 Ver Mapa")</f>
        <v>🔗 Ver Mapa</v>
      </c>
    </row>
    <row r="1456" spans="1:12" ht="43.5" x14ac:dyDescent="0.35">
      <c r="A1456" s="6" t="s">
        <v>206</v>
      </c>
      <c r="B1456" s="6" t="s">
        <v>207</v>
      </c>
      <c r="C1456" s="6" t="s">
        <v>252</v>
      </c>
      <c r="D1456" s="6" t="s">
        <v>34</v>
      </c>
      <c r="E1456" s="6" t="s">
        <v>37</v>
      </c>
      <c r="F1456" s="6" t="s">
        <v>253</v>
      </c>
      <c r="G1456" s="6" t="s">
        <v>254</v>
      </c>
      <c r="H1456" s="6" t="s">
        <v>255</v>
      </c>
      <c r="I1456" s="6" t="s">
        <v>213</v>
      </c>
      <c r="J1456" s="6">
        <v>16.788898039999999</v>
      </c>
      <c r="K1456" s="6">
        <v>-96.911072180000005</v>
      </c>
      <c r="L1456" s="6" t="str">
        <f>HYPERLINK("https://maps.google.com/?q=16.78889804,-96.911072180000005", "🔗 Ver Mapa")</f>
        <v>🔗 Ver Mapa</v>
      </c>
    </row>
    <row r="1457" spans="1:12" ht="43.5" x14ac:dyDescent="0.35">
      <c r="A1457" s="5" t="s">
        <v>206</v>
      </c>
      <c r="B1457" s="5" t="s">
        <v>207</v>
      </c>
      <c r="C1457" s="5" t="s">
        <v>252</v>
      </c>
      <c r="D1457" s="5" t="s">
        <v>34</v>
      </c>
      <c r="E1457" s="5" t="s">
        <v>37</v>
      </c>
      <c r="F1457" s="5" t="s">
        <v>253</v>
      </c>
      <c r="G1457" s="5" t="s">
        <v>254</v>
      </c>
      <c r="H1457" s="5" t="s">
        <v>255</v>
      </c>
      <c r="I1457" s="5" t="s">
        <v>213</v>
      </c>
      <c r="J1457" s="5">
        <v>16.788899279999999</v>
      </c>
      <c r="K1457" s="5">
        <v>-96.894529989999995</v>
      </c>
      <c r="L1457" s="5" t="str">
        <f>HYPERLINK("https://maps.google.com/?q=16.78889928,-96.894529989999995", "🔗 Ver Mapa")</f>
        <v>🔗 Ver Mapa</v>
      </c>
    </row>
    <row r="1458" spans="1:12" ht="43.5" x14ac:dyDescent="0.35">
      <c r="A1458" s="6" t="s">
        <v>206</v>
      </c>
      <c r="B1458" s="6" t="s">
        <v>207</v>
      </c>
      <c r="C1458" s="6" t="s">
        <v>252</v>
      </c>
      <c r="D1458" s="6" t="s">
        <v>34</v>
      </c>
      <c r="E1458" s="6" t="s">
        <v>37</v>
      </c>
      <c r="F1458" s="6" t="s">
        <v>253</v>
      </c>
      <c r="G1458" s="6" t="s">
        <v>254</v>
      </c>
      <c r="H1458" s="6" t="s">
        <v>255</v>
      </c>
      <c r="I1458" s="6" t="s">
        <v>213</v>
      </c>
      <c r="J1458" s="6">
        <v>16.78889929</v>
      </c>
      <c r="K1458" s="6">
        <v>-96.911780609999994</v>
      </c>
      <c r="L1458" s="6" t="str">
        <f>HYPERLINK("https://maps.google.com/?q=16.78889929,-96.911780609999994", "🔗 Ver Mapa")</f>
        <v>🔗 Ver Mapa</v>
      </c>
    </row>
    <row r="1459" spans="1:12" ht="43.5" x14ac:dyDescent="0.35">
      <c r="A1459" s="5" t="s">
        <v>206</v>
      </c>
      <c r="B1459" s="5" t="s">
        <v>207</v>
      </c>
      <c r="C1459" s="5" t="s">
        <v>252</v>
      </c>
      <c r="D1459" s="5" t="s">
        <v>34</v>
      </c>
      <c r="E1459" s="5" t="s">
        <v>37</v>
      </c>
      <c r="F1459" s="5" t="s">
        <v>253</v>
      </c>
      <c r="G1459" s="5" t="s">
        <v>254</v>
      </c>
      <c r="H1459" s="5" t="s">
        <v>255</v>
      </c>
      <c r="I1459" s="5" t="s">
        <v>213</v>
      </c>
      <c r="J1459" s="5">
        <v>16.788929400000001</v>
      </c>
      <c r="K1459" s="5">
        <v>-96.912375560000001</v>
      </c>
      <c r="L1459" s="5" t="str">
        <f>HYPERLINK("https://maps.google.com/?q=16.7889294,-96.912375560000001", "🔗 Ver Mapa")</f>
        <v>🔗 Ver Mapa</v>
      </c>
    </row>
    <row r="1460" spans="1:12" ht="43.5" x14ac:dyDescent="0.35">
      <c r="A1460" s="6" t="s">
        <v>206</v>
      </c>
      <c r="B1460" s="6" t="s">
        <v>207</v>
      </c>
      <c r="C1460" s="6" t="s">
        <v>252</v>
      </c>
      <c r="D1460" s="6" t="s">
        <v>34</v>
      </c>
      <c r="E1460" s="6" t="s">
        <v>37</v>
      </c>
      <c r="F1460" s="6" t="s">
        <v>253</v>
      </c>
      <c r="G1460" s="6" t="s">
        <v>254</v>
      </c>
      <c r="H1460" s="6" t="s">
        <v>255</v>
      </c>
      <c r="I1460" s="6" t="s">
        <v>213</v>
      </c>
      <c r="J1460" s="6">
        <v>16.788931269999999</v>
      </c>
      <c r="K1460" s="6">
        <v>-96.905021039999994</v>
      </c>
      <c r="L1460" s="6" t="str">
        <f>HYPERLINK("https://maps.google.com/?q=16.78893127,-96.905021039999994", "🔗 Ver Mapa")</f>
        <v>🔗 Ver Mapa</v>
      </c>
    </row>
    <row r="1461" spans="1:12" ht="43.5" x14ac:dyDescent="0.35">
      <c r="A1461" s="5" t="s">
        <v>206</v>
      </c>
      <c r="B1461" s="5" t="s">
        <v>207</v>
      </c>
      <c r="C1461" s="5" t="s">
        <v>252</v>
      </c>
      <c r="D1461" s="5" t="s">
        <v>34</v>
      </c>
      <c r="E1461" s="5" t="s">
        <v>37</v>
      </c>
      <c r="F1461" s="5" t="s">
        <v>253</v>
      </c>
      <c r="G1461" s="5" t="s">
        <v>254</v>
      </c>
      <c r="H1461" s="5" t="s">
        <v>255</v>
      </c>
      <c r="I1461" s="5" t="s">
        <v>213</v>
      </c>
      <c r="J1461" s="5">
        <v>16.78893162</v>
      </c>
      <c r="K1461" s="5">
        <v>-96.897765070000005</v>
      </c>
      <c r="L1461" s="5" t="str">
        <f>HYPERLINK("https://maps.google.com/?q=16.78893162,-96.897765070000005", "🔗 Ver Mapa")</f>
        <v>🔗 Ver Mapa</v>
      </c>
    </row>
    <row r="1462" spans="1:12" ht="43.5" x14ac:dyDescent="0.35">
      <c r="A1462" s="6" t="s">
        <v>206</v>
      </c>
      <c r="B1462" s="6" t="s">
        <v>207</v>
      </c>
      <c r="C1462" s="6" t="s">
        <v>252</v>
      </c>
      <c r="D1462" s="6" t="s">
        <v>34</v>
      </c>
      <c r="E1462" s="6" t="s">
        <v>37</v>
      </c>
      <c r="F1462" s="6" t="s">
        <v>253</v>
      </c>
      <c r="G1462" s="6" t="s">
        <v>254</v>
      </c>
      <c r="H1462" s="6" t="s">
        <v>255</v>
      </c>
      <c r="I1462" s="6" t="s">
        <v>213</v>
      </c>
      <c r="J1462" s="6">
        <v>16.78893562</v>
      </c>
      <c r="K1462" s="6">
        <v>-96.895069789999994</v>
      </c>
      <c r="L1462" s="6" t="str">
        <f>HYPERLINK("https://maps.google.com/?q=16.78893562,-96.895069789999994", "🔗 Ver Mapa")</f>
        <v>🔗 Ver Mapa</v>
      </c>
    </row>
    <row r="1463" spans="1:12" ht="43.5" x14ac:dyDescent="0.35">
      <c r="A1463" s="5" t="s">
        <v>206</v>
      </c>
      <c r="B1463" s="5" t="s">
        <v>207</v>
      </c>
      <c r="C1463" s="5" t="s">
        <v>252</v>
      </c>
      <c r="D1463" s="5" t="s">
        <v>34</v>
      </c>
      <c r="E1463" s="5" t="s">
        <v>37</v>
      </c>
      <c r="F1463" s="5" t="s">
        <v>253</v>
      </c>
      <c r="G1463" s="5" t="s">
        <v>254</v>
      </c>
      <c r="H1463" s="5" t="s">
        <v>255</v>
      </c>
      <c r="I1463" s="5" t="s">
        <v>213</v>
      </c>
      <c r="J1463" s="5">
        <v>16.788946459999998</v>
      </c>
      <c r="K1463" s="5">
        <v>-96.912109119999997</v>
      </c>
      <c r="L1463" s="5" t="str">
        <f>HYPERLINK("https://maps.google.com/?q=16.78894646,-96.912109119999997", "🔗 Ver Mapa")</f>
        <v>🔗 Ver Mapa</v>
      </c>
    </row>
    <row r="1464" spans="1:12" ht="43.5" x14ac:dyDescent="0.35">
      <c r="A1464" s="6" t="s">
        <v>206</v>
      </c>
      <c r="B1464" s="6" t="s">
        <v>207</v>
      </c>
      <c r="C1464" s="6" t="s">
        <v>252</v>
      </c>
      <c r="D1464" s="6" t="s">
        <v>34</v>
      </c>
      <c r="E1464" s="6" t="s">
        <v>37</v>
      </c>
      <c r="F1464" s="6" t="s">
        <v>253</v>
      </c>
      <c r="G1464" s="6" t="s">
        <v>254</v>
      </c>
      <c r="H1464" s="6" t="s">
        <v>255</v>
      </c>
      <c r="I1464" s="6" t="s">
        <v>213</v>
      </c>
      <c r="J1464" s="6">
        <v>16.788961019999999</v>
      </c>
      <c r="K1464" s="6">
        <v>-96.891812619999996</v>
      </c>
      <c r="L1464" s="6" t="str">
        <f>HYPERLINK("https://maps.google.com/?q=16.78896102,-96.891812619999996", "🔗 Ver Mapa")</f>
        <v>🔗 Ver Mapa</v>
      </c>
    </row>
    <row r="1465" spans="1:12" ht="43.5" x14ac:dyDescent="0.35">
      <c r="A1465" s="5" t="s">
        <v>206</v>
      </c>
      <c r="B1465" s="5" t="s">
        <v>207</v>
      </c>
      <c r="C1465" s="5" t="s">
        <v>252</v>
      </c>
      <c r="D1465" s="5" t="s">
        <v>34</v>
      </c>
      <c r="E1465" s="5" t="s">
        <v>37</v>
      </c>
      <c r="F1465" s="5" t="s">
        <v>253</v>
      </c>
      <c r="G1465" s="5" t="s">
        <v>254</v>
      </c>
      <c r="H1465" s="5" t="s">
        <v>255</v>
      </c>
      <c r="I1465" s="5" t="s">
        <v>213</v>
      </c>
      <c r="J1465" s="5">
        <v>16.78896662</v>
      </c>
      <c r="K1465" s="5">
        <v>-96.910813219999994</v>
      </c>
      <c r="L1465" s="5" t="str">
        <f>HYPERLINK("https://maps.google.com/?q=16.78896662,-96.910813219999994", "🔗 Ver Mapa")</f>
        <v>🔗 Ver Mapa</v>
      </c>
    </row>
    <row r="1466" spans="1:12" ht="43.5" x14ac:dyDescent="0.35">
      <c r="A1466" s="6" t="s">
        <v>206</v>
      </c>
      <c r="B1466" s="6" t="s">
        <v>207</v>
      </c>
      <c r="C1466" s="6" t="s">
        <v>252</v>
      </c>
      <c r="D1466" s="6" t="s">
        <v>34</v>
      </c>
      <c r="E1466" s="6" t="s">
        <v>37</v>
      </c>
      <c r="F1466" s="6" t="s">
        <v>253</v>
      </c>
      <c r="G1466" s="6" t="s">
        <v>254</v>
      </c>
      <c r="H1466" s="6" t="s">
        <v>255</v>
      </c>
      <c r="I1466" s="6" t="s">
        <v>213</v>
      </c>
      <c r="J1466" s="6">
        <v>16.788971920000002</v>
      </c>
      <c r="K1466" s="6">
        <v>-96.896973209999999</v>
      </c>
      <c r="L1466" s="6" t="str">
        <f>HYPERLINK("https://maps.google.com/?q=16.78897192,-96.896973209999999", "🔗 Ver Mapa")</f>
        <v>🔗 Ver Mapa</v>
      </c>
    </row>
    <row r="1467" spans="1:12" ht="43.5" x14ac:dyDescent="0.35">
      <c r="A1467" s="5" t="s">
        <v>206</v>
      </c>
      <c r="B1467" s="5" t="s">
        <v>207</v>
      </c>
      <c r="C1467" s="5" t="s">
        <v>252</v>
      </c>
      <c r="D1467" s="5" t="s">
        <v>34</v>
      </c>
      <c r="E1467" s="5" t="s">
        <v>37</v>
      </c>
      <c r="F1467" s="5" t="s">
        <v>253</v>
      </c>
      <c r="G1467" s="5" t="s">
        <v>254</v>
      </c>
      <c r="H1467" s="5" t="s">
        <v>255</v>
      </c>
      <c r="I1467" s="5" t="s">
        <v>213</v>
      </c>
      <c r="J1467" s="5">
        <v>16.788973639999998</v>
      </c>
      <c r="K1467" s="5">
        <v>-96.918740389999996</v>
      </c>
      <c r="L1467" s="5" t="str">
        <f>HYPERLINK("https://maps.google.com/?q=16.78897364,-96.918740389999996", "🔗 Ver Mapa")</f>
        <v>🔗 Ver Mapa</v>
      </c>
    </row>
    <row r="1468" spans="1:12" ht="43.5" x14ac:dyDescent="0.35">
      <c r="A1468" s="6" t="s">
        <v>206</v>
      </c>
      <c r="B1468" s="6" t="s">
        <v>207</v>
      </c>
      <c r="C1468" s="6" t="s">
        <v>252</v>
      </c>
      <c r="D1468" s="6" t="s">
        <v>34</v>
      </c>
      <c r="E1468" s="6" t="s">
        <v>37</v>
      </c>
      <c r="F1468" s="6" t="s">
        <v>253</v>
      </c>
      <c r="G1468" s="6" t="s">
        <v>254</v>
      </c>
      <c r="H1468" s="6" t="s">
        <v>255</v>
      </c>
      <c r="I1468" s="6" t="s">
        <v>213</v>
      </c>
      <c r="J1468" s="6">
        <v>16.78903644</v>
      </c>
      <c r="K1468" s="6">
        <v>-96.892594200000005</v>
      </c>
      <c r="L1468" s="6" t="str">
        <f>HYPERLINK("https://maps.google.com/?q=16.78903644,-96.892594200000005", "🔗 Ver Mapa")</f>
        <v>🔗 Ver Mapa</v>
      </c>
    </row>
    <row r="1469" spans="1:12" ht="43.5" x14ac:dyDescent="0.35">
      <c r="A1469" s="5" t="s">
        <v>206</v>
      </c>
      <c r="B1469" s="5" t="s">
        <v>207</v>
      </c>
      <c r="C1469" s="5" t="s">
        <v>252</v>
      </c>
      <c r="D1469" s="5" t="s">
        <v>34</v>
      </c>
      <c r="E1469" s="5" t="s">
        <v>37</v>
      </c>
      <c r="F1469" s="5" t="s">
        <v>253</v>
      </c>
      <c r="G1469" s="5" t="s">
        <v>254</v>
      </c>
      <c r="H1469" s="5" t="s">
        <v>255</v>
      </c>
      <c r="I1469" s="5" t="s">
        <v>213</v>
      </c>
      <c r="J1469" s="5">
        <v>16.789038170000001</v>
      </c>
      <c r="K1469" s="5">
        <v>-96.89833419</v>
      </c>
      <c r="L1469" s="5" t="str">
        <f>HYPERLINK("https://maps.google.com/?q=16.78903817,-96.89833419", "🔗 Ver Mapa")</f>
        <v>🔗 Ver Mapa</v>
      </c>
    </row>
    <row r="1470" spans="1:12" ht="43.5" x14ac:dyDescent="0.35">
      <c r="A1470" s="6" t="s">
        <v>206</v>
      </c>
      <c r="B1470" s="6" t="s">
        <v>207</v>
      </c>
      <c r="C1470" s="6" t="s">
        <v>252</v>
      </c>
      <c r="D1470" s="6" t="s">
        <v>34</v>
      </c>
      <c r="E1470" s="6" t="s">
        <v>37</v>
      </c>
      <c r="F1470" s="6" t="s">
        <v>253</v>
      </c>
      <c r="G1470" s="6" t="s">
        <v>254</v>
      </c>
      <c r="H1470" s="6" t="s">
        <v>255</v>
      </c>
      <c r="I1470" s="6" t="s">
        <v>213</v>
      </c>
      <c r="J1470" s="6">
        <v>16.789041090000001</v>
      </c>
      <c r="K1470" s="6">
        <v>-96.892796989999994</v>
      </c>
      <c r="L1470" s="6" t="str">
        <f>HYPERLINK("https://maps.google.com/?q=16.78904109,-96.892796989999994", "🔗 Ver Mapa")</f>
        <v>🔗 Ver Mapa</v>
      </c>
    </row>
    <row r="1471" spans="1:12" ht="43.5" x14ac:dyDescent="0.35">
      <c r="A1471" s="5" t="s">
        <v>206</v>
      </c>
      <c r="B1471" s="5" t="s">
        <v>207</v>
      </c>
      <c r="C1471" s="5" t="s">
        <v>252</v>
      </c>
      <c r="D1471" s="5" t="s">
        <v>34</v>
      </c>
      <c r="E1471" s="5" t="s">
        <v>37</v>
      </c>
      <c r="F1471" s="5" t="s">
        <v>253</v>
      </c>
      <c r="G1471" s="5" t="s">
        <v>254</v>
      </c>
      <c r="H1471" s="5" t="s">
        <v>255</v>
      </c>
      <c r="I1471" s="5" t="s">
        <v>213</v>
      </c>
      <c r="J1471" s="5">
        <v>16.789053540000001</v>
      </c>
      <c r="K1471" s="5">
        <v>-96.894680809999997</v>
      </c>
      <c r="L1471" s="5" t="str">
        <f>HYPERLINK("https://maps.google.com/?q=16.78905354,-96.894680809999997", "🔗 Ver Mapa")</f>
        <v>🔗 Ver Mapa</v>
      </c>
    </row>
    <row r="1472" spans="1:12" ht="43.5" x14ac:dyDescent="0.35">
      <c r="A1472" s="6" t="s">
        <v>206</v>
      </c>
      <c r="B1472" s="6" t="s">
        <v>207</v>
      </c>
      <c r="C1472" s="6" t="s">
        <v>252</v>
      </c>
      <c r="D1472" s="6" t="s">
        <v>34</v>
      </c>
      <c r="E1472" s="6" t="s">
        <v>37</v>
      </c>
      <c r="F1472" s="6" t="s">
        <v>253</v>
      </c>
      <c r="G1472" s="6" t="s">
        <v>254</v>
      </c>
      <c r="H1472" s="6" t="s">
        <v>255</v>
      </c>
      <c r="I1472" s="6" t="s">
        <v>213</v>
      </c>
      <c r="J1472" s="6">
        <v>16.78905481</v>
      </c>
      <c r="K1472" s="6">
        <v>-96.891376109999996</v>
      </c>
      <c r="L1472" s="6" t="str">
        <f>HYPERLINK("https://maps.google.com/?q=16.78905481,-96.891376109999996", "🔗 Ver Mapa")</f>
        <v>🔗 Ver Mapa</v>
      </c>
    </row>
    <row r="1473" spans="1:12" ht="43.5" x14ac:dyDescent="0.35">
      <c r="A1473" s="5" t="s">
        <v>206</v>
      </c>
      <c r="B1473" s="5" t="s">
        <v>207</v>
      </c>
      <c r="C1473" s="5" t="s">
        <v>252</v>
      </c>
      <c r="D1473" s="5" t="s">
        <v>34</v>
      </c>
      <c r="E1473" s="5" t="s">
        <v>37</v>
      </c>
      <c r="F1473" s="5" t="s">
        <v>253</v>
      </c>
      <c r="G1473" s="5" t="s">
        <v>254</v>
      </c>
      <c r="H1473" s="5" t="s">
        <v>255</v>
      </c>
      <c r="I1473" s="5" t="s">
        <v>213</v>
      </c>
      <c r="J1473" s="5">
        <v>16.78905666</v>
      </c>
      <c r="K1473" s="5">
        <v>-96.894007200000004</v>
      </c>
      <c r="L1473" s="5" t="str">
        <f>HYPERLINK("https://maps.google.com/?q=16.78905666,-96.894007200000004", "🔗 Ver Mapa")</f>
        <v>🔗 Ver Mapa</v>
      </c>
    </row>
    <row r="1474" spans="1:12" ht="43.5" x14ac:dyDescent="0.35">
      <c r="A1474" s="6" t="s">
        <v>206</v>
      </c>
      <c r="B1474" s="6" t="s">
        <v>207</v>
      </c>
      <c r="C1474" s="6" t="s">
        <v>252</v>
      </c>
      <c r="D1474" s="6" t="s">
        <v>34</v>
      </c>
      <c r="E1474" s="6" t="s">
        <v>37</v>
      </c>
      <c r="F1474" s="6" t="s">
        <v>253</v>
      </c>
      <c r="G1474" s="6" t="s">
        <v>254</v>
      </c>
      <c r="H1474" s="6" t="s">
        <v>255</v>
      </c>
      <c r="I1474" s="6" t="s">
        <v>213</v>
      </c>
      <c r="J1474" s="6">
        <v>16.78905889</v>
      </c>
      <c r="K1474" s="6">
        <v>-96.895239950000004</v>
      </c>
      <c r="L1474" s="6" t="str">
        <f>HYPERLINK("https://maps.google.com/?q=16.78905889,-96.895239950000004", "🔗 Ver Mapa")</f>
        <v>🔗 Ver Mapa</v>
      </c>
    </row>
    <row r="1475" spans="1:12" ht="43.5" x14ac:dyDescent="0.35">
      <c r="A1475" s="5" t="s">
        <v>206</v>
      </c>
      <c r="B1475" s="5" t="s">
        <v>207</v>
      </c>
      <c r="C1475" s="5" t="s">
        <v>252</v>
      </c>
      <c r="D1475" s="5" t="s">
        <v>34</v>
      </c>
      <c r="E1475" s="5" t="s">
        <v>37</v>
      </c>
      <c r="F1475" s="5" t="s">
        <v>253</v>
      </c>
      <c r="G1475" s="5" t="s">
        <v>254</v>
      </c>
      <c r="H1475" s="5" t="s">
        <v>255</v>
      </c>
      <c r="I1475" s="5" t="s">
        <v>213</v>
      </c>
      <c r="J1475" s="5">
        <v>16.789060490000001</v>
      </c>
      <c r="K1475" s="5">
        <v>-96.896760040000004</v>
      </c>
      <c r="L1475" s="5" t="str">
        <f>HYPERLINK("https://maps.google.com/?q=16.78906049,-96.896760040000004", "🔗 Ver Mapa")</f>
        <v>🔗 Ver Mapa</v>
      </c>
    </row>
    <row r="1476" spans="1:12" ht="43.5" x14ac:dyDescent="0.35">
      <c r="A1476" s="6" t="s">
        <v>206</v>
      </c>
      <c r="B1476" s="6" t="s">
        <v>207</v>
      </c>
      <c r="C1476" s="6" t="s">
        <v>252</v>
      </c>
      <c r="D1476" s="6" t="s">
        <v>34</v>
      </c>
      <c r="E1476" s="6" t="s">
        <v>37</v>
      </c>
      <c r="F1476" s="6" t="s">
        <v>253</v>
      </c>
      <c r="G1476" s="6" t="s">
        <v>254</v>
      </c>
      <c r="H1476" s="6" t="s">
        <v>255</v>
      </c>
      <c r="I1476" s="6" t="s">
        <v>213</v>
      </c>
      <c r="J1476" s="6">
        <v>16.789062749999999</v>
      </c>
      <c r="K1476" s="6">
        <v>-96.891663129999998</v>
      </c>
      <c r="L1476" s="6" t="str">
        <f>HYPERLINK("https://maps.google.com/?q=16.78906275,-96.891663129999998", "🔗 Ver Mapa")</f>
        <v>🔗 Ver Mapa</v>
      </c>
    </row>
    <row r="1477" spans="1:12" ht="43.5" x14ac:dyDescent="0.35">
      <c r="A1477" s="5" t="s">
        <v>206</v>
      </c>
      <c r="B1477" s="5" t="s">
        <v>207</v>
      </c>
      <c r="C1477" s="5" t="s">
        <v>252</v>
      </c>
      <c r="D1477" s="5" t="s">
        <v>34</v>
      </c>
      <c r="E1477" s="5" t="s">
        <v>37</v>
      </c>
      <c r="F1477" s="5" t="s">
        <v>253</v>
      </c>
      <c r="G1477" s="5" t="s">
        <v>254</v>
      </c>
      <c r="H1477" s="5" t="s">
        <v>255</v>
      </c>
      <c r="I1477" s="5" t="s">
        <v>213</v>
      </c>
      <c r="J1477" s="5">
        <v>16.78907242</v>
      </c>
      <c r="K1477" s="5">
        <v>-96.905560230000006</v>
      </c>
      <c r="L1477" s="5" t="str">
        <f>HYPERLINK("https://maps.google.com/?q=16.78907242,-96.905560230000006", "🔗 Ver Mapa")</f>
        <v>🔗 Ver Mapa</v>
      </c>
    </row>
    <row r="1478" spans="1:12" ht="43.5" x14ac:dyDescent="0.35">
      <c r="A1478" s="6" t="s">
        <v>206</v>
      </c>
      <c r="B1478" s="6" t="s">
        <v>207</v>
      </c>
      <c r="C1478" s="6" t="s">
        <v>252</v>
      </c>
      <c r="D1478" s="6" t="s">
        <v>34</v>
      </c>
      <c r="E1478" s="6" t="s">
        <v>37</v>
      </c>
      <c r="F1478" s="6" t="s">
        <v>253</v>
      </c>
      <c r="G1478" s="6" t="s">
        <v>254</v>
      </c>
      <c r="H1478" s="6" t="s">
        <v>255</v>
      </c>
      <c r="I1478" s="6" t="s">
        <v>213</v>
      </c>
      <c r="J1478" s="6">
        <v>16.789080139999999</v>
      </c>
      <c r="K1478" s="6">
        <v>-96.910056789999999</v>
      </c>
      <c r="L1478" s="6" t="str">
        <f>HYPERLINK("https://maps.google.com/?q=16.78908014,-96.910056789999999", "🔗 Ver Mapa")</f>
        <v>🔗 Ver Mapa</v>
      </c>
    </row>
    <row r="1479" spans="1:12" ht="43.5" x14ac:dyDescent="0.35">
      <c r="A1479" s="5" t="s">
        <v>206</v>
      </c>
      <c r="B1479" s="5" t="s">
        <v>207</v>
      </c>
      <c r="C1479" s="5" t="s">
        <v>252</v>
      </c>
      <c r="D1479" s="5" t="s">
        <v>34</v>
      </c>
      <c r="E1479" s="5" t="s">
        <v>37</v>
      </c>
      <c r="F1479" s="5" t="s">
        <v>253</v>
      </c>
      <c r="G1479" s="5" t="s">
        <v>254</v>
      </c>
      <c r="H1479" s="5" t="s">
        <v>255</v>
      </c>
      <c r="I1479" s="5" t="s">
        <v>213</v>
      </c>
      <c r="J1479" s="5">
        <v>16.789090040000001</v>
      </c>
      <c r="K1479" s="5">
        <v>-96.910610030000001</v>
      </c>
      <c r="L1479" s="5" t="str">
        <f>HYPERLINK("https://maps.google.com/?q=16.78909004,-96.910610030000001", "🔗 Ver Mapa")</f>
        <v>🔗 Ver Mapa</v>
      </c>
    </row>
    <row r="1480" spans="1:12" ht="43.5" x14ac:dyDescent="0.35">
      <c r="A1480" s="6" t="s">
        <v>206</v>
      </c>
      <c r="B1480" s="6" t="s">
        <v>207</v>
      </c>
      <c r="C1480" s="6" t="s">
        <v>252</v>
      </c>
      <c r="D1480" s="6" t="s">
        <v>34</v>
      </c>
      <c r="E1480" s="6" t="s">
        <v>37</v>
      </c>
      <c r="F1480" s="6" t="s">
        <v>253</v>
      </c>
      <c r="G1480" s="6" t="s">
        <v>254</v>
      </c>
      <c r="H1480" s="6" t="s">
        <v>255</v>
      </c>
      <c r="I1480" s="6" t="s">
        <v>213</v>
      </c>
      <c r="J1480" s="6">
        <v>16.789090730000002</v>
      </c>
      <c r="K1480" s="6">
        <v>-96.894828660000002</v>
      </c>
      <c r="L1480" s="6" t="str">
        <f>HYPERLINK("https://maps.google.com/?q=16.78909073,-96.894828660000002", "🔗 Ver Mapa")</f>
        <v>🔗 Ver Mapa</v>
      </c>
    </row>
    <row r="1481" spans="1:12" ht="43.5" x14ac:dyDescent="0.35">
      <c r="A1481" s="5" t="s">
        <v>206</v>
      </c>
      <c r="B1481" s="5" t="s">
        <v>207</v>
      </c>
      <c r="C1481" s="5" t="s">
        <v>252</v>
      </c>
      <c r="D1481" s="5" t="s">
        <v>34</v>
      </c>
      <c r="E1481" s="5" t="s">
        <v>37</v>
      </c>
      <c r="F1481" s="5" t="s">
        <v>253</v>
      </c>
      <c r="G1481" s="5" t="s">
        <v>254</v>
      </c>
      <c r="H1481" s="5" t="s">
        <v>255</v>
      </c>
      <c r="I1481" s="5" t="s">
        <v>213</v>
      </c>
      <c r="J1481" s="5">
        <v>16.78909204</v>
      </c>
      <c r="K1481" s="5">
        <v>-96.898955830000006</v>
      </c>
      <c r="L1481" s="5" t="str">
        <f>HYPERLINK("https://maps.google.com/?q=16.78909204,-96.898955830000006", "🔗 Ver Mapa")</f>
        <v>🔗 Ver Mapa</v>
      </c>
    </row>
    <row r="1482" spans="1:12" ht="43.5" x14ac:dyDescent="0.35">
      <c r="A1482" s="6" t="s">
        <v>206</v>
      </c>
      <c r="B1482" s="6" t="s">
        <v>207</v>
      </c>
      <c r="C1482" s="6" t="s">
        <v>252</v>
      </c>
      <c r="D1482" s="6" t="s">
        <v>34</v>
      </c>
      <c r="E1482" s="6" t="s">
        <v>37</v>
      </c>
      <c r="F1482" s="6" t="s">
        <v>253</v>
      </c>
      <c r="G1482" s="6" t="s">
        <v>254</v>
      </c>
      <c r="H1482" s="6" t="s">
        <v>255</v>
      </c>
      <c r="I1482" s="6" t="s">
        <v>213</v>
      </c>
      <c r="J1482" s="6">
        <v>16.789100999999999</v>
      </c>
      <c r="K1482" s="6">
        <v>-96.909879759999995</v>
      </c>
      <c r="L1482" s="6" t="str">
        <f>HYPERLINK("https://maps.google.com/?q=16.789101,-96.909879759999995", "🔗 Ver Mapa")</f>
        <v>🔗 Ver Mapa</v>
      </c>
    </row>
    <row r="1483" spans="1:12" ht="43.5" x14ac:dyDescent="0.35">
      <c r="A1483" s="5" t="s">
        <v>206</v>
      </c>
      <c r="B1483" s="5" t="s">
        <v>207</v>
      </c>
      <c r="C1483" s="5" t="s">
        <v>252</v>
      </c>
      <c r="D1483" s="5" t="s">
        <v>34</v>
      </c>
      <c r="E1483" s="5" t="s">
        <v>37</v>
      </c>
      <c r="F1483" s="5" t="s">
        <v>253</v>
      </c>
      <c r="G1483" s="5" t="s">
        <v>254</v>
      </c>
      <c r="H1483" s="5" t="s">
        <v>255</v>
      </c>
      <c r="I1483" s="5" t="s">
        <v>213</v>
      </c>
      <c r="J1483" s="5">
        <v>16.789106279999999</v>
      </c>
      <c r="K1483" s="5">
        <v>-96.895386860000002</v>
      </c>
      <c r="L1483" s="5" t="str">
        <f>HYPERLINK("https://maps.google.com/?q=16.78910628,-96.895386860000002", "🔗 Ver Mapa")</f>
        <v>🔗 Ver Mapa</v>
      </c>
    </row>
    <row r="1484" spans="1:12" ht="43.5" x14ac:dyDescent="0.35">
      <c r="A1484" s="6" t="s">
        <v>206</v>
      </c>
      <c r="B1484" s="6" t="s">
        <v>207</v>
      </c>
      <c r="C1484" s="6" t="s">
        <v>252</v>
      </c>
      <c r="D1484" s="6" t="s">
        <v>34</v>
      </c>
      <c r="E1484" s="6" t="s">
        <v>37</v>
      </c>
      <c r="F1484" s="6" t="s">
        <v>253</v>
      </c>
      <c r="G1484" s="6" t="s">
        <v>254</v>
      </c>
      <c r="H1484" s="6" t="s">
        <v>255</v>
      </c>
      <c r="I1484" s="6" t="s">
        <v>213</v>
      </c>
      <c r="J1484" s="6">
        <v>16.789123140000001</v>
      </c>
      <c r="K1484" s="6">
        <v>-96.904384219999997</v>
      </c>
      <c r="L1484" s="6" t="str">
        <f>HYPERLINK("https://maps.google.com/?q=16.78912314,-96.904384219999997", "🔗 Ver Mapa")</f>
        <v>🔗 Ver Mapa</v>
      </c>
    </row>
    <row r="1485" spans="1:12" ht="43.5" x14ac:dyDescent="0.35">
      <c r="A1485" s="5" t="s">
        <v>206</v>
      </c>
      <c r="B1485" s="5" t="s">
        <v>207</v>
      </c>
      <c r="C1485" s="5" t="s">
        <v>252</v>
      </c>
      <c r="D1485" s="5" t="s">
        <v>34</v>
      </c>
      <c r="E1485" s="5" t="s">
        <v>37</v>
      </c>
      <c r="F1485" s="5" t="s">
        <v>253</v>
      </c>
      <c r="G1485" s="5" t="s">
        <v>254</v>
      </c>
      <c r="H1485" s="5" t="s">
        <v>255</v>
      </c>
      <c r="I1485" s="5" t="s">
        <v>213</v>
      </c>
      <c r="J1485" s="5">
        <v>16.78912562</v>
      </c>
      <c r="K1485" s="5">
        <v>-96.909522539999998</v>
      </c>
      <c r="L1485" s="5" t="str">
        <f>HYPERLINK("https://maps.google.com/?q=16.78912562,-96.909522539999998", "🔗 Ver Mapa")</f>
        <v>🔗 Ver Mapa</v>
      </c>
    </row>
    <row r="1486" spans="1:12" ht="43.5" x14ac:dyDescent="0.35">
      <c r="A1486" s="6" t="s">
        <v>206</v>
      </c>
      <c r="B1486" s="6" t="s">
        <v>207</v>
      </c>
      <c r="C1486" s="6" t="s">
        <v>252</v>
      </c>
      <c r="D1486" s="6" t="s">
        <v>34</v>
      </c>
      <c r="E1486" s="6" t="s">
        <v>37</v>
      </c>
      <c r="F1486" s="6" t="s">
        <v>253</v>
      </c>
      <c r="G1486" s="6" t="s">
        <v>254</v>
      </c>
      <c r="H1486" s="6" t="s">
        <v>255</v>
      </c>
      <c r="I1486" s="6" t="s">
        <v>213</v>
      </c>
      <c r="J1486" s="6">
        <v>16.789131000000001</v>
      </c>
      <c r="K1486" s="6">
        <v>-96.891924930000002</v>
      </c>
      <c r="L1486" s="6" t="str">
        <f>HYPERLINK("https://maps.google.com/?q=16.789131,-96.891924930000002", "🔗 Ver Mapa")</f>
        <v>🔗 Ver Mapa</v>
      </c>
    </row>
    <row r="1487" spans="1:12" ht="43.5" x14ac:dyDescent="0.35">
      <c r="A1487" s="5" t="s">
        <v>206</v>
      </c>
      <c r="B1487" s="5" t="s">
        <v>207</v>
      </c>
      <c r="C1487" s="5" t="s">
        <v>252</v>
      </c>
      <c r="D1487" s="5" t="s">
        <v>34</v>
      </c>
      <c r="E1487" s="5" t="s">
        <v>37</v>
      </c>
      <c r="F1487" s="5" t="s">
        <v>253</v>
      </c>
      <c r="G1487" s="5" t="s">
        <v>254</v>
      </c>
      <c r="H1487" s="5" t="s">
        <v>255</v>
      </c>
      <c r="I1487" s="5" t="s">
        <v>213</v>
      </c>
      <c r="J1487" s="5">
        <v>16.789133440000001</v>
      </c>
      <c r="K1487" s="5">
        <v>-96.909741550000007</v>
      </c>
      <c r="L1487" s="5" t="str">
        <f>HYPERLINK("https://maps.google.com/?q=16.78913344,-96.909741550000007", "🔗 Ver Mapa")</f>
        <v>🔗 Ver Mapa</v>
      </c>
    </row>
    <row r="1488" spans="1:12" ht="43.5" x14ac:dyDescent="0.35">
      <c r="A1488" s="6" t="s">
        <v>206</v>
      </c>
      <c r="B1488" s="6" t="s">
        <v>207</v>
      </c>
      <c r="C1488" s="6" t="s">
        <v>252</v>
      </c>
      <c r="D1488" s="6" t="s">
        <v>34</v>
      </c>
      <c r="E1488" s="6" t="s">
        <v>37</v>
      </c>
      <c r="F1488" s="6" t="s">
        <v>253</v>
      </c>
      <c r="G1488" s="6" t="s">
        <v>254</v>
      </c>
      <c r="H1488" s="6" t="s">
        <v>255</v>
      </c>
      <c r="I1488" s="6" t="s">
        <v>213</v>
      </c>
      <c r="J1488" s="6">
        <v>16.78914207</v>
      </c>
      <c r="K1488" s="6">
        <v>-96.910263009999994</v>
      </c>
      <c r="L1488" s="6" t="str">
        <f>HYPERLINK("https://maps.google.com/?q=16.78914207,-96.910263009999994", "🔗 Ver Mapa")</f>
        <v>🔗 Ver Mapa</v>
      </c>
    </row>
    <row r="1489" spans="1:12" ht="43.5" x14ac:dyDescent="0.35">
      <c r="A1489" s="5" t="s">
        <v>206</v>
      </c>
      <c r="B1489" s="5" t="s">
        <v>207</v>
      </c>
      <c r="C1489" s="5" t="s">
        <v>252</v>
      </c>
      <c r="D1489" s="5" t="s">
        <v>34</v>
      </c>
      <c r="E1489" s="5" t="s">
        <v>37</v>
      </c>
      <c r="F1489" s="5" t="s">
        <v>253</v>
      </c>
      <c r="G1489" s="5" t="s">
        <v>254</v>
      </c>
      <c r="H1489" s="5" t="s">
        <v>255</v>
      </c>
      <c r="I1489" s="5" t="s">
        <v>213</v>
      </c>
      <c r="J1489" s="5">
        <v>16.789143679999999</v>
      </c>
      <c r="K1489" s="5">
        <v>-96.910447970000007</v>
      </c>
      <c r="L1489" s="5" t="str">
        <f>HYPERLINK("https://maps.google.com/?q=16.78914368,-96.910447970000007", "🔗 Ver Mapa")</f>
        <v>🔗 Ver Mapa</v>
      </c>
    </row>
    <row r="1490" spans="1:12" ht="43.5" x14ac:dyDescent="0.35">
      <c r="A1490" s="6" t="s">
        <v>206</v>
      </c>
      <c r="B1490" s="6" t="s">
        <v>207</v>
      </c>
      <c r="C1490" s="6" t="s">
        <v>252</v>
      </c>
      <c r="D1490" s="6" t="s">
        <v>34</v>
      </c>
      <c r="E1490" s="6" t="s">
        <v>37</v>
      </c>
      <c r="F1490" s="6" t="s">
        <v>253</v>
      </c>
      <c r="G1490" s="6" t="s">
        <v>254</v>
      </c>
      <c r="H1490" s="6" t="s">
        <v>255</v>
      </c>
      <c r="I1490" s="6" t="s">
        <v>213</v>
      </c>
      <c r="J1490" s="6">
        <v>16.789147539999998</v>
      </c>
      <c r="K1490" s="6">
        <v>-96.905026000000007</v>
      </c>
      <c r="L1490" s="6" t="str">
        <f>HYPERLINK("https://maps.google.com/?q=16.78914754,-96.905026000000007", "🔗 Ver Mapa")</f>
        <v>🔗 Ver Mapa</v>
      </c>
    </row>
    <row r="1491" spans="1:12" ht="43.5" x14ac:dyDescent="0.35">
      <c r="A1491" s="5" t="s">
        <v>206</v>
      </c>
      <c r="B1491" s="5" t="s">
        <v>207</v>
      </c>
      <c r="C1491" s="5" t="s">
        <v>252</v>
      </c>
      <c r="D1491" s="5" t="s">
        <v>34</v>
      </c>
      <c r="E1491" s="5" t="s">
        <v>37</v>
      </c>
      <c r="F1491" s="5" t="s">
        <v>253</v>
      </c>
      <c r="G1491" s="5" t="s">
        <v>254</v>
      </c>
      <c r="H1491" s="5" t="s">
        <v>255</v>
      </c>
      <c r="I1491" s="5" t="s">
        <v>213</v>
      </c>
      <c r="J1491" s="5">
        <v>16.789158709999999</v>
      </c>
      <c r="K1491" s="5">
        <v>-96.892442819999999</v>
      </c>
      <c r="L1491" s="5" t="str">
        <f>HYPERLINK("https://maps.google.com/?q=16.78915871,-96.892442819999999", "🔗 Ver Mapa")</f>
        <v>🔗 Ver Mapa</v>
      </c>
    </row>
    <row r="1492" spans="1:12" ht="43.5" x14ac:dyDescent="0.35">
      <c r="A1492" s="6" t="s">
        <v>206</v>
      </c>
      <c r="B1492" s="6" t="s">
        <v>207</v>
      </c>
      <c r="C1492" s="6" t="s">
        <v>252</v>
      </c>
      <c r="D1492" s="6" t="s">
        <v>34</v>
      </c>
      <c r="E1492" s="6" t="s">
        <v>37</v>
      </c>
      <c r="F1492" s="6" t="s">
        <v>253</v>
      </c>
      <c r="G1492" s="6" t="s">
        <v>254</v>
      </c>
      <c r="H1492" s="6" t="s">
        <v>255</v>
      </c>
      <c r="I1492" s="6" t="s">
        <v>213</v>
      </c>
      <c r="J1492" s="6">
        <v>16.789161660000001</v>
      </c>
      <c r="K1492" s="6">
        <v>-96.909334749999999</v>
      </c>
      <c r="L1492" s="6" t="str">
        <f>HYPERLINK("https://maps.google.com/?q=16.78916166,-96.909334749999999", "🔗 Ver Mapa")</f>
        <v>🔗 Ver Mapa</v>
      </c>
    </row>
    <row r="1493" spans="1:12" ht="43.5" x14ac:dyDescent="0.35">
      <c r="A1493" s="5" t="s">
        <v>206</v>
      </c>
      <c r="B1493" s="5" t="s">
        <v>207</v>
      </c>
      <c r="C1493" s="5" t="s">
        <v>252</v>
      </c>
      <c r="D1493" s="5" t="s">
        <v>34</v>
      </c>
      <c r="E1493" s="5" t="s">
        <v>37</v>
      </c>
      <c r="F1493" s="5" t="s">
        <v>253</v>
      </c>
      <c r="G1493" s="5" t="s">
        <v>254</v>
      </c>
      <c r="H1493" s="5" t="s">
        <v>255</v>
      </c>
      <c r="I1493" s="5" t="s">
        <v>213</v>
      </c>
      <c r="J1493" s="5">
        <v>16.789163909999999</v>
      </c>
      <c r="K1493" s="5">
        <v>-96.907863899999995</v>
      </c>
      <c r="L1493" s="5" t="str">
        <f>HYPERLINK("https://maps.google.com/?q=16.78916391,-96.907863899999995", "🔗 Ver Mapa")</f>
        <v>🔗 Ver Mapa</v>
      </c>
    </row>
    <row r="1494" spans="1:12" ht="43.5" x14ac:dyDescent="0.35">
      <c r="A1494" s="6" t="s">
        <v>206</v>
      </c>
      <c r="B1494" s="6" t="s">
        <v>207</v>
      </c>
      <c r="C1494" s="6" t="s">
        <v>252</v>
      </c>
      <c r="D1494" s="6" t="s">
        <v>34</v>
      </c>
      <c r="E1494" s="6" t="s">
        <v>37</v>
      </c>
      <c r="F1494" s="6" t="s">
        <v>253</v>
      </c>
      <c r="G1494" s="6" t="s">
        <v>254</v>
      </c>
      <c r="H1494" s="6" t="s">
        <v>255</v>
      </c>
      <c r="I1494" s="6" t="s">
        <v>213</v>
      </c>
      <c r="J1494" s="6">
        <v>16.78916581</v>
      </c>
      <c r="K1494" s="6">
        <v>-96.899042170000001</v>
      </c>
      <c r="L1494" s="6" t="str">
        <f>HYPERLINK("https://maps.google.com/?q=16.78916581,-96.899042170000001", "🔗 Ver Mapa")</f>
        <v>🔗 Ver Mapa</v>
      </c>
    </row>
    <row r="1495" spans="1:12" ht="43.5" x14ac:dyDescent="0.35">
      <c r="A1495" s="5" t="s">
        <v>206</v>
      </c>
      <c r="B1495" s="5" t="s">
        <v>207</v>
      </c>
      <c r="C1495" s="5" t="s">
        <v>252</v>
      </c>
      <c r="D1495" s="5" t="s">
        <v>34</v>
      </c>
      <c r="E1495" s="5" t="s">
        <v>37</v>
      </c>
      <c r="F1495" s="5" t="s">
        <v>253</v>
      </c>
      <c r="G1495" s="5" t="s">
        <v>254</v>
      </c>
      <c r="H1495" s="5" t="s">
        <v>255</v>
      </c>
      <c r="I1495" s="5" t="s">
        <v>213</v>
      </c>
      <c r="J1495" s="5">
        <v>16.78917083</v>
      </c>
      <c r="K1495" s="5">
        <v>-96.918949830000003</v>
      </c>
      <c r="L1495" s="5" t="str">
        <f>HYPERLINK("https://maps.google.com/?q=16.78917083,-96.918949830000003", "🔗 Ver Mapa")</f>
        <v>🔗 Ver Mapa</v>
      </c>
    </row>
    <row r="1496" spans="1:12" ht="43.5" x14ac:dyDescent="0.35">
      <c r="A1496" s="6" t="s">
        <v>206</v>
      </c>
      <c r="B1496" s="6" t="s">
        <v>207</v>
      </c>
      <c r="C1496" s="6" t="s">
        <v>252</v>
      </c>
      <c r="D1496" s="6" t="s">
        <v>34</v>
      </c>
      <c r="E1496" s="6" t="s">
        <v>37</v>
      </c>
      <c r="F1496" s="6" t="s">
        <v>253</v>
      </c>
      <c r="G1496" s="6" t="s">
        <v>254</v>
      </c>
      <c r="H1496" s="6" t="s">
        <v>255</v>
      </c>
      <c r="I1496" s="6" t="s">
        <v>213</v>
      </c>
      <c r="J1496" s="6">
        <v>16.789174209999999</v>
      </c>
      <c r="K1496" s="6">
        <v>-96.904622549999999</v>
      </c>
      <c r="L1496" s="6" t="str">
        <f>HYPERLINK("https://maps.google.com/?q=16.78917421,-96.904622549999999", "🔗 Ver Mapa")</f>
        <v>🔗 Ver Mapa</v>
      </c>
    </row>
    <row r="1497" spans="1:12" ht="43.5" x14ac:dyDescent="0.35">
      <c r="A1497" s="5" t="s">
        <v>206</v>
      </c>
      <c r="B1497" s="5" t="s">
        <v>207</v>
      </c>
      <c r="C1497" s="5" t="s">
        <v>252</v>
      </c>
      <c r="D1497" s="5" t="s">
        <v>34</v>
      </c>
      <c r="E1497" s="5" t="s">
        <v>37</v>
      </c>
      <c r="F1497" s="5" t="s">
        <v>253</v>
      </c>
      <c r="G1497" s="5" t="s">
        <v>254</v>
      </c>
      <c r="H1497" s="5" t="s">
        <v>255</v>
      </c>
      <c r="I1497" s="5" t="s">
        <v>213</v>
      </c>
      <c r="J1497" s="5">
        <v>16.789188129999999</v>
      </c>
      <c r="K1497" s="5">
        <v>-96.897598720000005</v>
      </c>
      <c r="L1497" s="5" t="str">
        <f>HYPERLINK("https://maps.google.com/?q=16.78918813,-96.897598720000005", "🔗 Ver Mapa")</f>
        <v>🔗 Ver Mapa</v>
      </c>
    </row>
    <row r="1498" spans="1:12" ht="43.5" x14ac:dyDescent="0.35">
      <c r="A1498" s="6" t="s">
        <v>206</v>
      </c>
      <c r="B1498" s="6" t="s">
        <v>207</v>
      </c>
      <c r="C1498" s="6" t="s">
        <v>252</v>
      </c>
      <c r="D1498" s="6" t="s">
        <v>34</v>
      </c>
      <c r="E1498" s="6" t="s">
        <v>37</v>
      </c>
      <c r="F1498" s="6" t="s">
        <v>253</v>
      </c>
      <c r="G1498" s="6" t="s">
        <v>254</v>
      </c>
      <c r="H1498" s="6" t="s">
        <v>255</v>
      </c>
      <c r="I1498" s="6" t="s">
        <v>213</v>
      </c>
      <c r="J1498" s="6">
        <v>16.789190519999998</v>
      </c>
      <c r="K1498" s="6">
        <v>-96.898368039999994</v>
      </c>
      <c r="L1498" s="6" t="str">
        <f>HYPERLINK("https://maps.google.com/?q=16.78919052,-96.898368039999994", "🔗 Ver Mapa")</f>
        <v>🔗 Ver Mapa</v>
      </c>
    </row>
    <row r="1499" spans="1:12" ht="43.5" x14ac:dyDescent="0.35">
      <c r="A1499" s="5" t="s">
        <v>206</v>
      </c>
      <c r="B1499" s="5" t="s">
        <v>207</v>
      </c>
      <c r="C1499" s="5" t="s">
        <v>252</v>
      </c>
      <c r="D1499" s="5" t="s">
        <v>34</v>
      </c>
      <c r="E1499" s="5" t="s">
        <v>37</v>
      </c>
      <c r="F1499" s="5" t="s">
        <v>253</v>
      </c>
      <c r="G1499" s="5" t="s">
        <v>254</v>
      </c>
      <c r="H1499" s="5" t="s">
        <v>255</v>
      </c>
      <c r="I1499" s="5" t="s">
        <v>213</v>
      </c>
      <c r="J1499" s="5">
        <v>16.78919827</v>
      </c>
      <c r="K1499" s="5">
        <v>-96.907734910000002</v>
      </c>
      <c r="L1499" s="5" t="str">
        <f>HYPERLINK("https://maps.google.com/?q=16.78919827,-96.907734910000002", "🔗 Ver Mapa")</f>
        <v>🔗 Ver Mapa</v>
      </c>
    </row>
    <row r="1500" spans="1:12" ht="43.5" x14ac:dyDescent="0.35">
      <c r="A1500" s="6" t="s">
        <v>206</v>
      </c>
      <c r="B1500" s="6" t="s">
        <v>207</v>
      </c>
      <c r="C1500" s="6" t="s">
        <v>252</v>
      </c>
      <c r="D1500" s="6" t="s">
        <v>34</v>
      </c>
      <c r="E1500" s="6" t="s">
        <v>37</v>
      </c>
      <c r="F1500" s="6" t="s">
        <v>253</v>
      </c>
      <c r="G1500" s="6" t="s">
        <v>254</v>
      </c>
      <c r="H1500" s="6" t="s">
        <v>255</v>
      </c>
      <c r="I1500" s="6" t="s">
        <v>213</v>
      </c>
      <c r="J1500" s="6">
        <v>16.789201210000002</v>
      </c>
      <c r="K1500" s="6">
        <v>-96.892275850000004</v>
      </c>
      <c r="L1500" s="6" t="str">
        <f>HYPERLINK("https://maps.google.com/?q=16.78920121,-96.892275850000004", "🔗 Ver Mapa")</f>
        <v>🔗 Ver Mapa</v>
      </c>
    </row>
    <row r="1501" spans="1:12" ht="43.5" x14ac:dyDescent="0.35">
      <c r="A1501" s="5" t="s">
        <v>206</v>
      </c>
      <c r="B1501" s="5" t="s">
        <v>207</v>
      </c>
      <c r="C1501" s="5" t="s">
        <v>252</v>
      </c>
      <c r="D1501" s="5" t="s">
        <v>34</v>
      </c>
      <c r="E1501" s="5" t="s">
        <v>37</v>
      </c>
      <c r="F1501" s="5" t="s">
        <v>253</v>
      </c>
      <c r="G1501" s="5" t="s">
        <v>254</v>
      </c>
      <c r="H1501" s="5" t="s">
        <v>255</v>
      </c>
      <c r="I1501" s="5" t="s">
        <v>213</v>
      </c>
      <c r="J1501" s="5">
        <v>16.78920317</v>
      </c>
      <c r="K1501" s="5">
        <v>-96.892041500000005</v>
      </c>
      <c r="L1501" s="5" t="str">
        <f>HYPERLINK("https://maps.google.com/?q=16.78920317,-96.892041500000005", "🔗 Ver Mapa")</f>
        <v>🔗 Ver Mapa</v>
      </c>
    </row>
    <row r="1502" spans="1:12" ht="43.5" x14ac:dyDescent="0.35">
      <c r="A1502" s="6" t="s">
        <v>206</v>
      </c>
      <c r="B1502" s="6" t="s">
        <v>207</v>
      </c>
      <c r="C1502" s="6" t="s">
        <v>252</v>
      </c>
      <c r="D1502" s="6" t="s">
        <v>34</v>
      </c>
      <c r="E1502" s="6" t="s">
        <v>37</v>
      </c>
      <c r="F1502" s="6" t="s">
        <v>253</v>
      </c>
      <c r="G1502" s="6" t="s">
        <v>254</v>
      </c>
      <c r="H1502" s="6" t="s">
        <v>255</v>
      </c>
      <c r="I1502" s="6" t="s">
        <v>213</v>
      </c>
      <c r="J1502" s="6">
        <v>16.78921991</v>
      </c>
      <c r="K1502" s="6">
        <v>-96.909113360000006</v>
      </c>
      <c r="L1502" s="6" t="str">
        <f>HYPERLINK("https://maps.google.com/?q=16.78921991,-96.909113360000006", "🔗 Ver Mapa")</f>
        <v>🔗 Ver Mapa</v>
      </c>
    </row>
    <row r="1503" spans="1:12" ht="43.5" x14ac:dyDescent="0.35">
      <c r="A1503" s="5" t="s">
        <v>206</v>
      </c>
      <c r="B1503" s="5" t="s">
        <v>207</v>
      </c>
      <c r="C1503" s="5" t="s">
        <v>252</v>
      </c>
      <c r="D1503" s="5" t="s">
        <v>34</v>
      </c>
      <c r="E1503" s="5" t="s">
        <v>37</v>
      </c>
      <c r="F1503" s="5" t="s">
        <v>253</v>
      </c>
      <c r="G1503" s="5" t="s">
        <v>254</v>
      </c>
      <c r="H1503" s="5" t="s">
        <v>255</v>
      </c>
      <c r="I1503" s="5" t="s">
        <v>213</v>
      </c>
      <c r="J1503" s="5">
        <v>16.789226970000001</v>
      </c>
      <c r="K1503" s="5">
        <v>-96.908811569999997</v>
      </c>
      <c r="L1503" s="5" t="str">
        <f>HYPERLINK("https://maps.google.com/?q=16.78922697,-96.908811569999997", "🔗 Ver Mapa")</f>
        <v>🔗 Ver Mapa</v>
      </c>
    </row>
    <row r="1504" spans="1:12" ht="43.5" x14ac:dyDescent="0.35">
      <c r="A1504" s="6" t="s">
        <v>206</v>
      </c>
      <c r="B1504" s="6" t="s">
        <v>207</v>
      </c>
      <c r="C1504" s="6" t="s">
        <v>252</v>
      </c>
      <c r="D1504" s="6" t="s">
        <v>34</v>
      </c>
      <c r="E1504" s="6" t="s">
        <v>37</v>
      </c>
      <c r="F1504" s="6" t="s">
        <v>253</v>
      </c>
      <c r="G1504" s="6" t="s">
        <v>254</v>
      </c>
      <c r="H1504" s="6" t="s">
        <v>255</v>
      </c>
      <c r="I1504" s="6" t="s">
        <v>213</v>
      </c>
      <c r="J1504" s="6">
        <v>16.78923369</v>
      </c>
      <c r="K1504" s="6">
        <v>-96.908175240000006</v>
      </c>
      <c r="L1504" s="6" t="str">
        <f>HYPERLINK("https://maps.google.com/?q=16.78923369,-96.908175240000006", "🔗 Ver Mapa")</f>
        <v>🔗 Ver Mapa</v>
      </c>
    </row>
    <row r="1505" spans="1:12" ht="43.5" x14ac:dyDescent="0.35">
      <c r="A1505" s="5" t="s">
        <v>206</v>
      </c>
      <c r="B1505" s="5" t="s">
        <v>207</v>
      </c>
      <c r="C1505" s="5" t="s">
        <v>252</v>
      </c>
      <c r="D1505" s="5" t="s">
        <v>34</v>
      </c>
      <c r="E1505" s="5" t="s">
        <v>37</v>
      </c>
      <c r="F1505" s="5" t="s">
        <v>253</v>
      </c>
      <c r="G1505" s="5" t="s">
        <v>254</v>
      </c>
      <c r="H1505" s="5" t="s">
        <v>255</v>
      </c>
      <c r="I1505" s="5" t="s">
        <v>213</v>
      </c>
      <c r="J1505" s="5">
        <v>16.78923472</v>
      </c>
      <c r="K1505" s="5">
        <v>-96.898726719999999</v>
      </c>
      <c r="L1505" s="5" t="str">
        <f>HYPERLINK("https://maps.google.com/?q=16.78923472,-96.898726719999999", "🔗 Ver Mapa")</f>
        <v>🔗 Ver Mapa</v>
      </c>
    </row>
    <row r="1506" spans="1:12" ht="43.5" x14ac:dyDescent="0.35">
      <c r="A1506" s="6" t="s">
        <v>206</v>
      </c>
      <c r="B1506" s="6" t="s">
        <v>207</v>
      </c>
      <c r="C1506" s="6" t="s">
        <v>252</v>
      </c>
      <c r="D1506" s="6" t="s">
        <v>34</v>
      </c>
      <c r="E1506" s="6" t="s">
        <v>37</v>
      </c>
      <c r="F1506" s="6" t="s">
        <v>253</v>
      </c>
      <c r="G1506" s="6" t="s">
        <v>254</v>
      </c>
      <c r="H1506" s="6" t="s">
        <v>255</v>
      </c>
      <c r="I1506" s="6" t="s">
        <v>213</v>
      </c>
      <c r="J1506" s="6">
        <v>16.78923717</v>
      </c>
      <c r="K1506" s="6">
        <v>-96.907588529999998</v>
      </c>
      <c r="L1506" s="6" t="str">
        <f>HYPERLINK("https://maps.google.com/?q=16.78923717,-96.907588529999998", "🔗 Ver Mapa")</f>
        <v>🔗 Ver Mapa</v>
      </c>
    </row>
    <row r="1507" spans="1:12" ht="43.5" x14ac:dyDescent="0.35">
      <c r="A1507" s="5" t="s">
        <v>206</v>
      </c>
      <c r="B1507" s="5" t="s">
        <v>207</v>
      </c>
      <c r="C1507" s="5" t="s">
        <v>252</v>
      </c>
      <c r="D1507" s="5" t="s">
        <v>34</v>
      </c>
      <c r="E1507" s="5" t="s">
        <v>37</v>
      </c>
      <c r="F1507" s="5" t="s">
        <v>253</v>
      </c>
      <c r="G1507" s="5" t="s">
        <v>254</v>
      </c>
      <c r="H1507" s="5" t="s">
        <v>255</v>
      </c>
      <c r="I1507" s="5" t="s">
        <v>213</v>
      </c>
      <c r="J1507" s="5">
        <v>16.789251360000002</v>
      </c>
      <c r="K1507" s="5">
        <v>-96.90361</v>
      </c>
      <c r="L1507" s="5" t="str">
        <f>HYPERLINK("https://maps.google.com/?q=16.78925136,-96.90361", "🔗 Ver Mapa")</f>
        <v>🔗 Ver Mapa</v>
      </c>
    </row>
    <row r="1508" spans="1:12" ht="43.5" x14ac:dyDescent="0.35">
      <c r="A1508" s="6" t="s">
        <v>206</v>
      </c>
      <c r="B1508" s="6" t="s">
        <v>207</v>
      </c>
      <c r="C1508" s="6" t="s">
        <v>252</v>
      </c>
      <c r="D1508" s="6" t="s">
        <v>34</v>
      </c>
      <c r="E1508" s="6" t="s">
        <v>37</v>
      </c>
      <c r="F1508" s="6" t="s">
        <v>253</v>
      </c>
      <c r="G1508" s="6" t="s">
        <v>254</v>
      </c>
      <c r="H1508" s="6" t="s">
        <v>255</v>
      </c>
      <c r="I1508" s="6" t="s">
        <v>213</v>
      </c>
      <c r="J1508" s="6">
        <v>16.789255260000001</v>
      </c>
      <c r="K1508" s="6">
        <v>-96.89741386</v>
      </c>
      <c r="L1508" s="6" t="str">
        <f>HYPERLINK("https://maps.google.com/?q=16.78925526,-96.89741386", "🔗 Ver Mapa")</f>
        <v>🔗 Ver Mapa</v>
      </c>
    </row>
    <row r="1509" spans="1:12" ht="43.5" x14ac:dyDescent="0.35">
      <c r="A1509" s="5" t="s">
        <v>206</v>
      </c>
      <c r="B1509" s="5" t="s">
        <v>207</v>
      </c>
      <c r="C1509" s="5" t="s">
        <v>252</v>
      </c>
      <c r="D1509" s="5" t="s">
        <v>34</v>
      </c>
      <c r="E1509" s="5" t="s">
        <v>37</v>
      </c>
      <c r="F1509" s="5" t="s">
        <v>253</v>
      </c>
      <c r="G1509" s="5" t="s">
        <v>254</v>
      </c>
      <c r="H1509" s="5" t="s">
        <v>255</v>
      </c>
      <c r="I1509" s="5" t="s">
        <v>213</v>
      </c>
      <c r="J1509" s="5">
        <v>16.789259909999998</v>
      </c>
      <c r="K1509" s="5">
        <v>-96.898514640000002</v>
      </c>
      <c r="L1509" s="5" t="str">
        <f>HYPERLINK("https://maps.google.com/?q=16.78925991,-96.898514640000002", "🔗 Ver Mapa")</f>
        <v>🔗 Ver Mapa</v>
      </c>
    </row>
    <row r="1510" spans="1:12" ht="43.5" x14ac:dyDescent="0.35">
      <c r="A1510" s="6" t="s">
        <v>206</v>
      </c>
      <c r="B1510" s="6" t="s">
        <v>207</v>
      </c>
      <c r="C1510" s="6" t="s">
        <v>252</v>
      </c>
      <c r="D1510" s="6" t="s">
        <v>34</v>
      </c>
      <c r="E1510" s="6" t="s">
        <v>37</v>
      </c>
      <c r="F1510" s="6" t="s">
        <v>253</v>
      </c>
      <c r="G1510" s="6" t="s">
        <v>254</v>
      </c>
      <c r="H1510" s="6" t="s">
        <v>255</v>
      </c>
      <c r="I1510" s="6" t="s">
        <v>213</v>
      </c>
      <c r="J1510" s="6">
        <v>16.789260370000001</v>
      </c>
      <c r="K1510" s="6">
        <v>-96.908992479999995</v>
      </c>
      <c r="L1510" s="6" t="str">
        <f>HYPERLINK("https://maps.google.com/?q=16.78926037,-96.908992479999995", "🔗 Ver Mapa")</f>
        <v>🔗 Ver Mapa</v>
      </c>
    </row>
    <row r="1511" spans="1:12" ht="43.5" x14ac:dyDescent="0.35">
      <c r="A1511" s="5" t="s">
        <v>206</v>
      </c>
      <c r="B1511" s="5" t="s">
        <v>207</v>
      </c>
      <c r="C1511" s="5" t="s">
        <v>252</v>
      </c>
      <c r="D1511" s="5" t="s">
        <v>34</v>
      </c>
      <c r="E1511" s="5" t="s">
        <v>37</v>
      </c>
      <c r="F1511" s="5" t="s">
        <v>253</v>
      </c>
      <c r="G1511" s="5" t="s">
        <v>254</v>
      </c>
      <c r="H1511" s="5" t="s">
        <v>255</v>
      </c>
      <c r="I1511" s="5" t="s">
        <v>213</v>
      </c>
      <c r="J1511" s="5">
        <v>16.789265960000002</v>
      </c>
      <c r="K1511" s="5">
        <v>-96.89639631</v>
      </c>
      <c r="L1511" s="5" t="str">
        <f>HYPERLINK("https://maps.google.com/?q=16.78926596,-96.89639631", "🔗 Ver Mapa")</f>
        <v>🔗 Ver Mapa</v>
      </c>
    </row>
    <row r="1512" spans="1:12" ht="43.5" x14ac:dyDescent="0.35">
      <c r="A1512" s="6" t="s">
        <v>206</v>
      </c>
      <c r="B1512" s="6" t="s">
        <v>207</v>
      </c>
      <c r="C1512" s="6" t="s">
        <v>252</v>
      </c>
      <c r="D1512" s="6" t="s">
        <v>34</v>
      </c>
      <c r="E1512" s="6" t="s">
        <v>37</v>
      </c>
      <c r="F1512" s="6" t="s">
        <v>253</v>
      </c>
      <c r="G1512" s="6" t="s">
        <v>254</v>
      </c>
      <c r="H1512" s="6" t="s">
        <v>255</v>
      </c>
      <c r="I1512" s="6" t="s">
        <v>213</v>
      </c>
      <c r="J1512" s="6">
        <v>16.789271339999999</v>
      </c>
      <c r="K1512" s="6">
        <v>-96.908607360000005</v>
      </c>
      <c r="L1512" s="6" t="str">
        <f>HYPERLINK("https://maps.google.com/?q=16.78927134,-96.908607360000005", "🔗 Ver Mapa")</f>
        <v>🔗 Ver Mapa</v>
      </c>
    </row>
    <row r="1513" spans="1:12" ht="43.5" x14ac:dyDescent="0.35">
      <c r="A1513" s="5" t="s">
        <v>206</v>
      </c>
      <c r="B1513" s="5" t="s">
        <v>207</v>
      </c>
      <c r="C1513" s="5" t="s">
        <v>252</v>
      </c>
      <c r="D1513" s="5" t="s">
        <v>34</v>
      </c>
      <c r="E1513" s="5" t="s">
        <v>37</v>
      </c>
      <c r="F1513" s="5" t="s">
        <v>253</v>
      </c>
      <c r="G1513" s="5" t="s">
        <v>254</v>
      </c>
      <c r="H1513" s="5" t="s">
        <v>255</v>
      </c>
      <c r="I1513" s="5" t="s">
        <v>213</v>
      </c>
      <c r="J1513" s="5">
        <v>16.789271379999999</v>
      </c>
      <c r="K1513" s="5">
        <v>-96.908399680000002</v>
      </c>
      <c r="L1513" s="5" t="str">
        <f>HYPERLINK("https://maps.google.com/?q=16.78927138,-96.908399680000002", "🔗 Ver Mapa")</f>
        <v>🔗 Ver Mapa</v>
      </c>
    </row>
    <row r="1514" spans="1:12" ht="43.5" x14ac:dyDescent="0.35">
      <c r="A1514" s="6" t="s">
        <v>206</v>
      </c>
      <c r="B1514" s="6" t="s">
        <v>207</v>
      </c>
      <c r="C1514" s="6" t="s">
        <v>252</v>
      </c>
      <c r="D1514" s="6" t="s">
        <v>34</v>
      </c>
      <c r="E1514" s="6" t="s">
        <v>37</v>
      </c>
      <c r="F1514" s="6" t="s">
        <v>253</v>
      </c>
      <c r="G1514" s="6" t="s">
        <v>254</v>
      </c>
      <c r="H1514" s="6" t="s">
        <v>255</v>
      </c>
      <c r="I1514" s="6" t="s">
        <v>213</v>
      </c>
      <c r="J1514" s="6">
        <v>16.789276019999999</v>
      </c>
      <c r="K1514" s="6">
        <v>-96.907420060000007</v>
      </c>
      <c r="L1514" s="6" t="str">
        <f>HYPERLINK("https://maps.google.com/?q=16.78927602,-96.907420060000007", "🔗 Ver Mapa")</f>
        <v>🔗 Ver Mapa</v>
      </c>
    </row>
    <row r="1515" spans="1:12" ht="43.5" x14ac:dyDescent="0.35">
      <c r="A1515" s="5" t="s">
        <v>206</v>
      </c>
      <c r="B1515" s="5" t="s">
        <v>207</v>
      </c>
      <c r="C1515" s="5" t="s">
        <v>252</v>
      </c>
      <c r="D1515" s="5" t="s">
        <v>34</v>
      </c>
      <c r="E1515" s="5" t="s">
        <v>37</v>
      </c>
      <c r="F1515" s="5" t="s">
        <v>253</v>
      </c>
      <c r="G1515" s="5" t="s">
        <v>254</v>
      </c>
      <c r="H1515" s="5" t="s">
        <v>255</v>
      </c>
      <c r="I1515" s="5" t="s">
        <v>213</v>
      </c>
      <c r="J1515" s="5">
        <v>16.789288580000001</v>
      </c>
      <c r="K1515" s="5">
        <v>-96.89518047</v>
      </c>
      <c r="L1515" s="5" t="str">
        <f>HYPERLINK("https://maps.google.com/?q=16.78928858,-96.89518047", "🔗 Ver Mapa")</f>
        <v>🔗 Ver Mapa</v>
      </c>
    </row>
    <row r="1516" spans="1:12" ht="43.5" x14ac:dyDescent="0.35">
      <c r="A1516" s="6" t="s">
        <v>206</v>
      </c>
      <c r="B1516" s="6" t="s">
        <v>207</v>
      </c>
      <c r="C1516" s="6" t="s">
        <v>252</v>
      </c>
      <c r="D1516" s="6" t="s">
        <v>34</v>
      </c>
      <c r="E1516" s="6" t="s">
        <v>37</v>
      </c>
      <c r="F1516" s="6" t="s">
        <v>253</v>
      </c>
      <c r="G1516" s="6" t="s">
        <v>254</v>
      </c>
      <c r="H1516" s="6" t="s">
        <v>255</v>
      </c>
      <c r="I1516" s="6" t="s">
        <v>213</v>
      </c>
      <c r="J1516" s="6">
        <v>16.789304170000001</v>
      </c>
      <c r="K1516" s="6">
        <v>-96.920985889999997</v>
      </c>
      <c r="L1516" s="6" t="str">
        <f>HYPERLINK("https://maps.google.com/?q=16.78930417,-96.920985889999997", "🔗 Ver Mapa")</f>
        <v>🔗 Ver Mapa</v>
      </c>
    </row>
    <row r="1517" spans="1:12" ht="43.5" x14ac:dyDescent="0.35">
      <c r="A1517" s="5" t="s">
        <v>206</v>
      </c>
      <c r="B1517" s="5" t="s">
        <v>207</v>
      </c>
      <c r="C1517" s="5" t="s">
        <v>252</v>
      </c>
      <c r="D1517" s="5" t="s">
        <v>34</v>
      </c>
      <c r="E1517" s="5" t="s">
        <v>37</v>
      </c>
      <c r="F1517" s="5" t="s">
        <v>253</v>
      </c>
      <c r="G1517" s="5" t="s">
        <v>254</v>
      </c>
      <c r="H1517" s="5" t="s">
        <v>255</v>
      </c>
      <c r="I1517" s="5" t="s">
        <v>213</v>
      </c>
      <c r="J1517" s="5">
        <v>16.789307969999999</v>
      </c>
      <c r="K1517" s="5">
        <v>-96.907212099999995</v>
      </c>
      <c r="L1517" s="5" t="str">
        <f>HYPERLINK("https://maps.google.com/?q=16.78930797,-96.907212099999995", "🔗 Ver Mapa")</f>
        <v>🔗 Ver Mapa</v>
      </c>
    </row>
    <row r="1518" spans="1:12" ht="43.5" x14ac:dyDescent="0.35">
      <c r="A1518" s="6" t="s">
        <v>206</v>
      </c>
      <c r="B1518" s="6" t="s">
        <v>207</v>
      </c>
      <c r="C1518" s="6" t="s">
        <v>252</v>
      </c>
      <c r="D1518" s="6" t="s">
        <v>34</v>
      </c>
      <c r="E1518" s="6" t="s">
        <v>37</v>
      </c>
      <c r="F1518" s="6" t="s">
        <v>253</v>
      </c>
      <c r="G1518" s="6" t="s">
        <v>254</v>
      </c>
      <c r="H1518" s="6" t="s">
        <v>255</v>
      </c>
      <c r="I1518" s="6" t="s">
        <v>213</v>
      </c>
      <c r="J1518" s="6">
        <v>16.789323410000002</v>
      </c>
      <c r="K1518" s="6">
        <v>-96.918573089999995</v>
      </c>
      <c r="L1518" s="6" t="str">
        <f>HYPERLINK("https://maps.google.com/?q=16.78932341,-96.918573089999995", "🔗 Ver Mapa")</f>
        <v>🔗 Ver Mapa</v>
      </c>
    </row>
    <row r="1519" spans="1:12" ht="43.5" x14ac:dyDescent="0.35">
      <c r="A1519" s="5" t="s">
        <v>206</v>
      </c>
      <c r="B1519" s="5" t="s">
        <v>207</v>
      </c>
      <c r="C1519" s="5" t="s">
        <v>252</v>
      </c>
      <c r="D1519" s="5" t="s">
        <v>34</v>
      </c>
      <c r="E1519" s="5" t="s">
        <v>37</v>
      </c>
      <c r="F1519" s="5" t="s">
        <v>253</v>
      </c>
      <c r="G1519" s="5" t="s">
        <v>254</v>
      </c>
      <c r="H1519" s="5" t="s">
        <v>255</v>
      </c>
      <c r="I1519" s="5" t="s">
        <v>213</v>
      </c>
      <c r="J1519" s="5">
        <v>16.789333240000001</v>
      </c>
      <c r="K1519" s="5">
        <v>-96.905214180000002</v>
      </c>
      <c r="L1519" s="5" t="str">
        <f>HYPERLINK("https://maps.google.com/?q=16.78933324,-96.905214180000002", "🔗 Ver Mapa")</f>
        <v>🔗 Ver Mapa</v>
      </c>
    </row>
    <row r="1520" spans="1:12" ht="43.5" x14ac:dyDescent="0.35">
      <c r="A1520" s="6" t="s">
        <v>206</v>
      </c>
      <c r="B1520" s="6" t="s">
        <v>207</v>
      </c>
      <c r="C1520" s="6" t="s">
        <v>252</v>
      </c>
      <c r="D1520" s="6" t="s">
        <v>34</v>
      </c>
      <c r="E1520" s="6" t="s">
        <v>37</v>
      </c>
      <c r="F1520" s="6" t="s">
        <v>253</v>
      </c>
      <c r="G1520" s="6" t="s">
        <v>254</v>
      </c>
      <c r="H1520" s="6" t="s">
        <v>255</v>
      </c>
      <c r="I1520" s="6" t="s">
        <v>213</v>
      </c>
      <c r="J1520" s="6">
        <v>16.789347979999999</v>
      </c>
      <c r="K1520" s="6">
        <v>-96.893530819999995</v>
      </c>
      <c r="L1520" s="6" t="str">
        <f>HYPERLINK("https://maps.google.com/?q=16.78934798,-96.893530819999995", "🔗 Ver Mapa")</f>
        <v>🔗 Ver Mapa</v>
      </c>
    </row>
    <row r="1521" spans="1:12" ht="43.5" x14ac:dyDescent="0.35">
      <c r="A1521" s="5" t="s">
        <v>206</v>
      </c>
      <c r="B1521" s="5" t="s">
        <v>207</v>
      </c>
      <c r="C1521" s="5" t="s">
        <v>252</v>
      </c>
      <c r="D1521" s="5" t="s">
        <v>34</v>
      </c>
      <c r="E1521" s="5" t="s">
        <v>37</v>
      </c>
      <c r="F1521" s="5" t="s">
        <v>253</v>
      </c>
      <c r="G1521" s="5" t="s">
        <v>254</v>
      </c>
      <c r="H1521" s="5" t="s">
        <v>255</v>
      </c>
      <c r="I1521" s="5" t="s">
        <v>213</v>
      </c>
      <c r="J1521" s="5">
        <v>16.78935508</v>
      </c>
      <c r="K1521" s="5">
        <v>-96.897319519999996</v>
      </c>
      <c r="L1521" s="5" t="str">
        <f>HYPERLINK("https://maps.google.com/?q=16.78935508,-96.897319519999996", "🔗 Ver Mapa")</f>
        <v>🔗 Ver Mapa</v>
      </c>
    </row>
    <row r="1522" spans="1:12" ht="43.5" x14ac:dyDescent="0.35">
      <c r="A1522" s="6" t="s">
        <v>206</v>
      </c>
      <c r="B1522" s="6" t="s">
        <v>207</v>
      </c>
      <c r="C1522" s="6" t="s">
        <v>252</v>
      </c>
      <c r="D1522" s="6" t="s">
        <v>34</v>
      </c>
      <c r="E1522" s="6" t="s">
        <v>37</v>
      </c>
      <c r="F1522" s="6" t="s">
        <v>253</v>
      </c>
      <c r="G1522" s="6" t="s">
        <v>254</v>
      </c>
      <c r="H1522" s="6" t="s">
        <v>255</v>
      </c>
      <c r="I1522" s="6" t="s">
        <v>213</v>
      </c>
      <c r="J1522" s="6">
        <v>16.789357150000001</v>
      </c>
      <c r="K1522" s="6">
        <v>-96.906991970000007</v>
      </c>
      <c r="L1522" s="6" t="str">
        <f>HYPERLINK("https://maps.google.com/?q=16.78935715,-96.906991970000007", "🔗 Ver Mapa")</f>
        <v>🔗 Ver Mapa</v>
      </c>
    </row>
    <row r="1523" spans="1:12" ht="43.5" x14ac:dyDescent="0.35">
      <c r="A1523" s="5" t="s">
        <v>206</v>
      </c>
      <c r="B1523" s="5" t="s">
        <v>207</v>
      </c>
      <c r="C1523" s="5" t="s">
        <v>252</v>
      </c>
      <c r="D1523" s="5" t="s">
        <v>34</v>
      </c>
      <c r="E1523" s="5" t="s">
        <v>37</v>
      </c>
      <c r="F1523" s="5" t="s">
        <v>253</v>
      </c>
      <c r="G1523" s="5" t="s">
        <v>254</v>
      </c>
      <c r="H1523" s="5" t="s">
        <v>255</v>
      </c>
      <c r="I1523" s="5" t="s">
        <v>213</v>
      </c>
      <c r="J1523" s="5">
        <v>16.789361849999999</v>
      </c>
      <c r="K1523" s="5">
        <v>-96.893265869999993</v>
      </c>
      <c r="L1523" s="5" t="str">
        <f>HYPERLINK("https://maps.google.com/?q=16.78936185,-96.893265869999993", "🔗 Ver Mapa")</f>
        <v>🔗 Ver Mapa</v>
      </c>
    </row>
    <row r="1524" spans="1:12" ht="43.5" x14ac:dyDescent="0.35">
      <c r="A1524" s="6" t="s">
        <v>206</v>
      </c>
      <c r="B1524" s="6" t="s">
        <v>207</v>
      </c>
      <c r="C1524" s="6" t="s">
        <v>252</v>
      </c>
      <c r="D1524" s="6" t="s">
        <v>34</v>
      </c>
      <c r="E1524" s="6" t="s">
        <v>37</v>
      </c>
      <c r="F1524" s="6" t="s">
        <v>253</v>
      </c>
      <c r="G1524" s="6" t="s">
        <v>254</v>
      </c>
      <c r="H1524" s="6" t="s">
        <v>255</v>
      </c>
      <c r="I1524" s="6" t="s">
        <v>213</v>
      </c>
      <c r="J1524" s="6">
        <v>16.789364890000002</v>
      </c>
      <c r="K1524" s="6">
        <v>-96.894355820000001</v>
      </c>
      <c r="L1524" s="6" t="str">
        <f>HYPERLINK("https://maps.google.com/?q=16.78936489,-96.894355820000001", "🔗 Ver Mapa")</f>
        <v>🔗 Ver Mapa</v>
      </c>
    </row>
    <row r="1525" spans="1:12" ht="43.5" x14ac:dyDescent="0.35">
      <c r="A1525" s="5" t="s">
        <v>206</v>
      </c>
      <c r="B1525" s="5" t="s">
        <v>207</v>
      </c>
      <c r="C1525" s="5" t="s">
        <v>252</v>
      </c>
      <c r="D1525" s="5" t="s">
        <v>34</v>
      </c>
      <c r="E1525" s="5" t="s">
        <v>37</v>
      </c>
      <c r="F1525" s="5" t="s">
        <v>253</v>
      </c>
      <c r="G1525" s="5" t="s">
        <v>254</v>
      </c>
      <c r="H1525" s="5" t="s">
        <v>255</v>
      </c>
      <c r="I1525" s="5" t="s">
        <v>213</v>
      </c>
      <c r="J1525" s="5">
        <v>16.78937251</v>
      </c>
      <c r="K1525" s="5">
        <v>-96.893545869999997</v>
      </c>
      <c r="L1525" s="5" t="str">
        <f>HYPERLINK("https://maps.google.com/?q=16.78937251,-96.893545869999997", "🔗 Ver Mapa")</f>
        <v>🔗 Ver Mapa</v>
      </c>
    </row>
    <row r="1526" spans="1:12" ht="43.5" x14ac:dyDescent="0.35">
      <c r="A1526" s="6" t="s">
        <v>206</v>
      </c>
      <c r="B1526" s="6" t="s">
        <v>207</v>
      </c>
      <c r="C1526" s="6" t="s">
        <v>252</v>
      </c>
      <c r="D1526" s="6" t="s">
        <v>34</v>
      </c>
      <c r="E1526" s="6" t="s">
        <v>37</v>
      </c>
      <c r="F1526" s="6" t="s">
        <v>253</v>
      </c>
      <c r="G1526" s="6" t="s">
        <v>254</v>
      </c>
      <c r="H1526" s="6" t="s">
        <v>255</v>
      </c>
      <c r="I1526" s="6" t="s">
        <v>213</v>
      </c>
      <c r="J1526" s="6">
        <v>16.789378960000001</v>
      </c>
      <c r="K1526" s="6">
        <v>-96.905083989999994</v>
      </c>
      <c r="L1526" s="6" t="str">
        <f>HYPERLINK("https://maps.google.com/?q=16.78937896,-96.905083989999994", "🔗 Ver Mapa")</f>
        <v>🔗 Ver Mapa</v>
      </c>
    </row>
    <row r="1527" spans="1:12" ht="43.5" x14ac:dyDescent="0.35">
      <c r="A1527" s="5" t="s">
        <v>206</v>
      </c>
      <c r="B1527" s="5" t="s">
        <v>207</v>
      </c>
      <c r="C1527" s="5" t="s">
        <v>252</v>
      </c>
      <c r="D1527" s="5" t="s">
        <v>34</v>
      </c>
      <c r="E1527" s="5" t="s">
        <v>37</v>
      </c>
      <c r="F1527" s="5" t="s">
        <v>253</v>
      </c>
      <c r="G1527" s="5" t="s">
        <v>254</v>
      </c>
      <c r="H1527" s="5" t="s">
        <v>255</v>
      </c>
      <c r="I1527" s="5" t="s">
        <v>213</v>
      </c>
      <c r="J1527" s="5">
        <v>16.789386239999999</v>
      </c>
      <c r="K1527" s="5">
        <v>-96.90449658</v>
      </c>
      <c r="L1527" s="5" t="str">
        <f>HYPERLINK("https://maps.google.com/?q=16.78938624,-96.90449658", "🔗 Ver Mapa")</f>
        <v>🔗 Ver Mapa</v>
      </c>
    </row>
    <row r="1528" spans="1:12" ht="43.5" x14ac:dyDescent="0.35">
      <c r="A1528" s="6" t="s">
        <v>206</v>
      </c>
      <c r="B1528" s="6" t="s">
        <v>207</v>
      </c>
      <c r="C1528" s="6" t="s">
        <v>252</v>
      </c>
      <c r="D1528" s="6" t="s">
        <v>34</v>
      </c>
      <c r="E1528" s="6" t="s">
        <v>37</v>
      </c>
      <c r="F1528" s="6" t="s">
        <v>253</v>
      </c>
      <c r="G1528" s="6" t="s">
        <v>254</v>
      </c>
      <c r="H1528" s="6" t="s">
        <v>255</v>
      </c>
      <c r="I1528" s="6" t="s">
        <v>213</v>
      </c>
      <c r="J1528" s="6">
        <v>16.789409890000002</v>
      </c>
      <c r="K1528" s="6">
        <v>-96.90677239</v>
      </c>
      <c r="L1528" s="6" t="str">
        <f>HYPERLINK("https://maps.google.com/?q=16.78940989,-96.90677239", "🔗 Ver Mapa")</f>
        <v>🔗 Ver Mapa</v>
      </c>
    </row>
    <row r="1529" spans="1:12" ht="43.5" x14ac:dyDescent="0.35">
      <c r="A1529" s="5" t="s">
        <v>206</v>
      </c>
      <c r="B1529" s="5" t="s">
        <v>207</v>
      </c>
      <c r="C1529" s="5" t="s">
        <v>252</v>
      </c>
      <c r="D1529" s="5" t="s">
        <v>34</v>
      </c>
      <c r="E1529" s="5" t="s">
        <v>37</v>
      </c>
      <c r="F1529" s="5" t="s">
        <v>253</v>
      </c>
      <c r="G1529" s="5" t="s">
        <v>254</v>
      </c>
      <c r="H1529" s="5" t="s">
        <v>255</v>
      </c>
      <c r="I1529" s="5" t="s">
        <v>213</v>
      </c>
      <c r="J1529" s="5">
        <v>16.789468840000001</v>
      </c>
      <c r="K1529" s="5">
        <v>-96.906560709999994</v>
      </c>
      <c r="L1529" s="5" t="str">
        <f>HYPERLINK("https://maps.google.com/?q=16.78946884,-96.906560709999994", "🔗 Ver Mapa")</f>
        <v>🔗 Ver Mapa</v>
      </c>
    </row>
    <row r="1530" spans="1:12" ht="43.5" x14ac:dyDescent="0.35">
      <c r="A1530" s="6" t="s">
        <v>206</v>
      </c>
      <c r="B1530" s="6" t="s">
        <v>207</v>
      </c>
      <c r="C1530" s="6" t="s">
        <v>252</v>
      </c>
      <c r="D1530" s="6" t="s">
        <v>34</v>
      </c>
      <c r="E1530" s="6" t="s">
        <v>37</v>
      </c>
      <c r="F1530" s="6" t="s">
        <v>253</v>
      </c>
      <c r="G1530" s="6" t="s">
        <v>254</v>
      </c>
      <c r="H1530" s="6" t="s">
        <v>255</v>
      </c>
      <c r="I1530" s="6" t="s">
        <v>213</v>
      </c>
      <c r="J1530" s="6">
        <v>16.789471389999999</v>
      </c>
      <c r="K1530" s="6">
        <v>-96.894525830000006</v>
      </c>
      <c r="L1530" s="6" t="str">
        <f>HYPERLINK("https://maps.google.com/?q=16.78947139,-96.894525830000006", "🔗 Ver Mapa")</f>
        <v>🔗 Ver Mapa</v>
      </c>
    </row>
    <row r="1531" spans="1:12" ht="43.5" x14ac:dyDescent="0.35">
      <c r="A1531" s="5" t="s">
        <v>206</v>
      </c>
      <c r="B1531" s="5" t="s">
        <v>207</v>
      </c>
      <c r="C1531" s="5" t="s">
        <v>252</v>
      </c>
      <c r="D1531" s="5" t="s">
        <v>34</v>
      </c>
      <c r="E1531" s="5" t="s">
        <v>37</v>
      </c>
      <c r="F1531" s="5" t="s">
        <v>253</v>
      </c>
      <c r="G1531" s="5" t="s">
        <v>254</v>
      </c>
      <c r="H1531" s="5" t="s">
        <v>255</v>
      </c>
      <c r="I1531" s="5" t="s">
        <v>213</v>
      </c>
      <c r="J1531" s="5">
        <v>16.789474139999999</v>
      </c>
      <c r="K1531" s="5">
        <v>-96.896192749999997</v>
      </c>
      <c r="L1531" s="5" t="str">
        <f>HYPERLINK("https://maps.google.com/?q=16.78947414,-96.896192749999997", "🔗 Ver Mapa")</f>
        <v>🔗 Ver Mapa</v>
      </c>
    </row>
    <row r="1532" spans="1:12" ht="43.5" x14ac:dyDescent="0.35">
      <c r="A1532" s="6" t="s">
        <v>206</v>
      </c>
      <c r="B1532" s="6" t="s">
        <v>207</v>
      </c>
      <c r="C1532" s="6" t="s">
        <v>252</v>
      </c>
      <c r="D1532" s="6" t="s">
        <v>34</v>
      </c>
      <c r="E1532" s="6" t="s">
        <v>37</v>
      </c>
      <c r="F1532" s="6" t="s">
        <v>253</v>
      </c>
      <c r="G1532" s="6" t="s">
        <v>254</v>
      </c>
      <c r="H1532" s="6" t="s">
        <v>255</v>
      </c>
      <c r="I1532" s="6" t="s">
        <v>213</v>
      </c>
      <c r="J1532" s="6">
        <v>16.789504860000001</v>
      </c>
      <c r="K1532" s="6">
        <v>-96.905181850000005</v>
      </c>
      <c r="L1532" s="6" t="str">
        <f>HYPERLINK("https://maps.google.com/?q=16.78950486,-96.905181850000005", "🔗 Ver Mapa")</f>
        <v>🔗 Ver Mapa</v>
      </c>
    </row>
    <row r="1533" spans="1:12" ht="43.5" x14ac:dyDescent="0.35">
      <c r="A1533" s="5" t="s">
        <v>206</v>
      </c>
      <c r="B1533" s="5" t="s">
        <v>207</v>
      </c>
      <c r="C1533" s="5" t="s">
        <v>252</v>
      </c>
      <c r="D1533" s="5" t="s">
        <v>34</v>
      </c>
      <c r="E1533" s="5" t="s">
        <v>37</v>
      </c>
      <c r="F1533" s="5" t="s">
        <v>253</v>
      </c>
      <c r="G1533" s="5" t="s">
        <v>254</v>
      </c>
      <c r="H1533" s="5" t="s">
        <v>255</v>
      </c>
      <c r="I1533" s="5" t="s">
        <v>213</v>
      </c>
      <c r="J1533" s="5">
        <v>16.789509540000001</v>
      </c>
      <c r="K1533" s="5">
        <v>-96.892856559999998</v>
      </c>
      <c r="L1533" s="5" t="str">
        <f>HYPERLINK("https://maps.google.com/?q=16.78950954,-96.892856559999998", "🔗 Ver Mapa")</f>
        <v>🔗 Ver Mapa</v>
      </c>
    </row>
    <row r="1534" spans="1:12" ht="43.5" x14ac:dyDescent="0.35">
      <c r="A1534" s="6" t="s">
        <v>206</v>
      </c>
      <c r="B1534" s="6" t="s">
        <v>207</v>
      </c>
      <c r="C1534" s="6" t="s">
        <v>252</v>
      </c>
      <c r="D1534" s="6" t="s">
        <v>34</v>
      </c>
      <c r="E1534" s="6" t="s">
        <v>37</v>
      </c>
      <c r="F1534" s="6" t="s">
        <v>253</v>
      </c>
      <c r="G1534" s="6" t="s">
        <v>254</v>
      </c>
      <c r="H1534" s="6" t="s">
        <v>255</v>
      </c>
      <c r="I1534" s="6" t="s">
        <v>213</v>
      </c>
      <c r="J1534" s="6">
        <v>16.789519120000001</v>
      </c>
      <c r="K1534" s="6">
        <v>-96.920354169999996</v>
      </c>
      <c r="L1534" s="6" t="str">
        <f>HYPERLINK("https://maps.google.com/?q=16.78951912,-96.920354169999996", "🔗 Ver Mapa")</f>
        <v>🔗 Ver Mapa</v>
      </c>
    </row>
    <row r="1535" spans="1:12" ht="43.5" x14ac:dyDescent="0.35">
      <c r="A1535" s="5" t="s">
        <v>206</v>
      </c>
      <c r="B1535" s="5" t="s">
        <v>207</v>
      </c>
      <c r="C1535" s="5" t="s">
        <v>252</v>
      </c>
      <c r="D1535" s="5" t="s">
        <v>34</v>
      </c>
      <c r="E1535" s="5" t="s">
        <v>37</v>
      </c>
      <c r="F1535" s="5" t="s">
        <v>253</v>
      </c>
      <c r="G1535" s="5" t="s">
        <v>254</v>
      </c>
      <c r="H1535" s="5" t="s">
        <v>255</v>
      </c>
      <c r="I1535" s="5" t="s">
        <v>213</v>
      </c>
      <c r="J1535" s="5">
        <v>16.789522999999999</v>
      </c>
      <c r="K1535" s="5">
        <v>-96.905567000000005</v>
      </c>
      <c r="L1535" s="5" t="str">
        <f>HYPERLINK("https://maps.google.com/?q=16.789523,-96.905567000000005", "🔗 Ver Mapa")</f>
        <v>🔗 Ver Mapa</v>
      </c>
    </row>
    <row r="1536" spans="1:12" ht="43.5" x14ac:dyDescent="0.35">
      <c r="A1536" s="6" t="s">
        <v>206</v>
      </c>
      <c r="B1536" s="6" t="s">
        <v>207</v>
      </c>
      <c r="C1536" s="6" t="s">
        <v>252</v>
      </c>
      <c r="D1536" s="6" t="s">
        <v>34</v>
      </c>
      <c r="E1536" s="6" t="s">
        <v>37</v>
      </c>
      <c r="F1536" s="6" t="s">
        <v>253</v>
      </c>
      <c r="G1536" s="6" t="s">
        <v>254</v>
      </c>
      <c r="H1536" s="6" t="s">
        <v>255</v>
      </c>
      <c r="I1536" s="6" t="s">
        <v>213</v>
      </c>
      <c r="J1536" s="6">
        <v>16.78952366</v>
      </c>
      <c r="K1536" s="6">
        <v>-96.895606560000004</v>
      </c>
      <c r="L1536" s="6" t="str">
        <f>HYPERLINK("https://maps.google.com/?q=16.78952366,-96.895606560000004", "🔗 Ver Mapa")</f>
        <v>🔗 Ver Mapa</v>
      </c>
    </row>
    <row r="1537" spans="1:12" ht="43.5" x14ac:dyDescent="0.35">
      <c r="A1537" s="5" t="s">
        <v>206</v>
      </c>
      <c r="B1537" s="5" t="s">
        <v>207</v>
      </c>
      <c r="C1537" s="5" t="s">
        <v>252</v>
      </c>
      <c r="D1537" s="5" t="s">
        <v>34</v>
      </c>
      <c r="E1537" s="5" t="s">
        <v>37</v>
      </c>
      <c r="F1537" s="5" t="s">
        <v>253</v>
      </c>
      <c r="G1537" s="5" t="s">
        <v>254</v>
      </c>
      <c r="H1537" s="5" t="s">
        <v>255</v>
      </c>
      <c r="I1537" s="5" t="s">
        <v>213</v>
      </c>
      <c r="J1537" s="5">
        <v>16.789526710000001</v>
      </c>
      <c r="K1537" s="5">
        <v>-96.906327059999995</v>
      </c>
      <c r="L1537" s="5" t="str">
        <f>HYPERLINK("https://maps.google.com/?q=16.78952671,-96.906327059999995", "🔗 Ver Mapa")</f>
        <v>🔗 Ver Mapa</v>
      </c>
    </row>
    <row r="1538" spans="1:12" ht="43.5" x14ac:dyDescent="0.35">
      <c r="A1538" s="6" t="s">
        <v>206</v>
      </c>
      <c r="B1538" s="6" t="s">
        <v>207</v>
      </c>
      <c r="C1538" s="6" t="s">
        <v>252</v>
      </c>
      <c r="D1538" s="6" t="s">
        <v>34</v>
      </c>
      <c r="E1538" s="6" t="s">
        <v>37</v>
      </c>
      <c r="F1538" s="6" t="s">
        <v>253</v>
      </c>
      <c r="G1538" s="6" t="s">
        <v>254</v>
      </c>
      <c r="H1538" s="6" t="s">
        <v>255</v>
      </c>
      <c r="I1538" s="6" t="s">
        <v>213</v>
      </c>
      <c r="J1538" s="6">
        <v>16.78952786</v>
      </c>
      <c r="K1538" s="6">
        <v>-96.904717829999996</v>
      </c>
      <c r="L1538" s="6" t="str">
        <f>HYPERLINK("https://maps.google.com/?q=16.78952786,-96.904717829999996", "🔗 Ver Mapa")</f>
        <v>🔗 Ver Mapa</v>
      </c>
    </row>
    <row r="1539" spans="1:12" ht="43.5" x14ac:dyDescent="0.35">
      <c r="A1539" s="5" t="s">
        <v>206</v>
      </c>
      <c r="B1539" s="5" t="s">
        <v>207</v>
      </c>
      <c r="C1539" s="5" t="s">
        <v>252</v>
      </c>
      <c r="D1539" s="5" t="s">
        <v>34</v>
      </c>
      <c r="E1539" s="5" t="s">
        <v>37</v>
      </c>
      <c r="F1539" s="5" t="s">
        <v>253</v>
      </c>
      <c r="G1539" s="5" t="s">
        <v>254</v>
      </c>
      <c r="H1539" s="5" t="s">
        <v>255</v>
      </c>
      <c r="I1539" s="5" t="s">
        <v>213</v>
      </c>
      <c r="J1539" s="5">
        <v>16.789547169999999</v>
      </c>
      <c r="K1539" s="5">
        <v>-96.906102360000006</v>
      </c>
      <c r="L1539" s="5" t="str">
        <f>HYPERLINK("https://maps.google.com/?q=16.78954717,-96.906102360000006", "🔗 Ver Mapa")</f>
        <v>🔗 Ver Mapa</v>
      </c>
    </row>
    <row r="1540" spans="1:12" ht="43.5" x14ac:dyDescent="0.35">
      <c r="A1540" s="6" t="s">
        <v>206</v>
      </c>
      <c r="B1540" s="6" t="s">
        <v>207</v>
      </c>
      <c r="C1540" s="6" t="s">
        <v>252</v>
      </c>
      <c r="D1540" s="6" t="s">
        <v>34</v>
      </c>
      <c r="E1540" s="6" t="s">
        <v>37</v>
      </c>
      <c r="F1540" s="6" t="s">
        <v>253</v>
      </c>
      <c r="G1540" s="6" t="s">
        <v>254</v>
      </c>
      <c r="H1540" s="6" t="s">
        <v>255</v>
      </c>
      <c r="I1540" s="6" t="s">
        <v>213</v>
      </c>
      <c r="J1540" s="6">
        <v>16.789552329999999</v>
      </c>
      <c r="K1540" s="6">
        <v>-96.904348229999997</v>
      </c>
      <c r="L1540" s="6" t="str">
        <f>HYPERLINK("https://maps.google.com/?q=16.78955233,-96.904348229999997", "🔗 Ver Mapa")</f>
        <v>🔗 Ver Mapa</v>
      </c>
    </row>
    <row r="1541" spans="1:12" ht="43.5" x14ac:dyDescent="0.35">
      <c r="A1541" s="5" t="s">
        <v>206</v>
      </c>
      <c r="B1541" s="5" t="s">
        <v>207</v>
      </c>
      <c r="C1541" s="5" t="s">
        <v>252</v>
      </c>
      <c r="D1541" s="5" t="s">
        <v>34</v>
      </c>
      <c r="E1541" s="5" t="s">
        <v>37</v>
      </c>
      <c r="F1541" s="5" t="s">
        <v>253</v>
      </c>
      <c r="G1541" s="5" t="s">
        <v>254</v>
      </c>
      <c r="H1541" s="5" t="s">
        <v>255</v>
      </c>
      <c r="I1541" s="5" t="s">
        <v>213</v>
      </c>
      <c r="J1541" s="5">
        <v>16.78956024</v>
      </c>
      <c r="K1541" s="5">
        <v>-96.905865370000001</v>
      </c>
      <c r="L1541" s="5" t="str">
        <f>HYPERLINK("https://maps.google.com/?q=16.78956024,-96.905865370000001", "🔗 Ver Mapa")</f>
        <v>🔗 Ver Mapa</v>
      </c>
    </row>
    <row r="1542" spans="1:12" ht="43.5" x14ac:dyDescent="0.35">
      <c r="A1542" s="6" t="s">
        <v>206</v>
      </c>
      <c r="B1542" s="6" t="s">
        <v>207</v>
      </c>
      <c r="C1542" s="6" t="s">
        <v>252</v>
      </c>
      <c r="D1542" s="6" t="s">
        <v>34</v>
      </c>
      <c r="E1542" s="6" t="s">
        <v>37</v>
      </c>
      <c r="F1542" s="6" t="s">
        <v>253</v>
      </c>
      <c r="G1542" s="6" t="s">
        <v>254</v>
      </c>
      <c r="H1542" s="6" t="s">
        <v>255</v>
      </c>
      <c r="I1542" s="6" t="s">
        <v>213</v>
      </c>
      <c r="J1542" s="6">
        <v>16.789595039999998</v>
      </c>
      <c r="K1542" s="6">
        <v>-96.897464360000001</v>
      </c>
      <c r="L1542" s="6" t="str">
        <f>HYPERLINK("https://maps.google.com/?q=16.78959504,-96.897464360000001", "🔗 Ver Mapa")</f>
        <v>🔗 Ver Mapa</v>
      </c>
    </row>
    <row r="1543" spans="1:12" ht="43.5" x14ac:dyDescent="0.35">
      <c r="A1543" s="5" t="s">
        <v>206</v>
      </c>
      <c r="B1543" s="5" t="s">
        <v>207</v>
      </c>
      <c r="C1543" s="5" t="s">
        <v>252</v>
      </c>
      <c r="D1543" s="5" t="s">
        <v>34</v>
      </c>
      <c r="E1543" s="5" t="s">
        <v>37</v>
      </c>
      <c r="F1543" s="5" t="s">
        <v>253</v>
      </c>
      <c r="G1543" s="5" t="s">
        <v>254</v>
      </c>
      <c r="H1543" s="5" t="s">
        <v>255</v>
      </c>
      <c r="I1543" s="5" t="s">
        <v>213</v>
      </c>
      <c r="J1543" s="5">
        <v>16.789601690000001</v>
      </c>
      <c r="K1543" s="5">
        <v>-96.894842850000003</v>
      </c>
      <c r="L1543" s="5" t="str">
        <f>HYPERLINK("https://maps.google.com/?q=16.78960169,-96.894842850000003", "🔗 Ver Mapa")</f>
        <v>🔗 Ver Mapa</v>
      </c>
    </row>
    <row r="1544" spans="1:12" ht="43.5" x14ac:dyDescent="0.35">
      <c r="A1544" s="6" t="s">
        <v>206</v>
      </c>
      <c r="B1544" s="6" t="s">
        <v>207</v>
      </c>
      <c r="C1544" s="6" t="s">
        <v>252</v>
      </c>
      <c r="D1544" s="6" t="s">
        <v>34</v>
      </c>
      <c r="E1544" s="6" t="s">
        <v>37</v>
      </c>
      <c r="F1544" s="6" t="s">
        <v>253</v>
      </c>
      <c r="G1544" s="6" t="s">
        <v>254</v>
      </c>
      <c r="H1544" s="6" t="s">
        <v>255</v>
      </c>
      <c r="I1544" s="6" t="s">
        <v>213</v>
      </c>
      <c r="J1544" s="6">
        <v>16.789606499053999</v>
      </c>
      <c r="K1544" s="6">
        <v>-96.899794536339996</v>
      </c>
      <c r="L1544" s="6" t="str">
        <f>HYPERLINK("https://maps.google.com/?q=16.78960649905442,-96.899794536340451", "🔗 Ver Mapa")</f>
        <v>🔗 Ver Mapa</v>
      </c>
    </row>
    <row r="1545" spans="1:12" ht="43.5" x14ac:dyDescent="0.35">
      <c r="A1545" s="5" t="s">
        <v>206</v>
      </c>
      <c r="B1545" s="5" t="s">
        <v>207</v>
      </c>
      <c r="C1545" s="5" t="s">
        <v>252</v>
      </c>
      <c r="D1545" s="5" t="s">
        <v>34</v>
      </c>
      <c r="E1545" s="5" t="s">
        <v>37</v>
      </c>
      <c r="F1545" s="5" t="s">
        <v>253</v>
      </c>
      <c r="G1545" s="5" t="s">
        <v>254</v>
      </c>
      <c r="H1545" s="5" t="s">
        <v>255</v>
      </c>
      <c r="I1545" s="5" t="s">
        <v>213</v>
      </c>
      <c r="J1545" s="5">
        <v>16.789606670000001</v>
      </c>
      <c r="K1545" s="5">
        <v>-96.902756980000007</v>
      </c>
      <c r="L1545" s="5" t="str">
        <f>HYPERLINK("https://maps.google.com/?q=16.78960667,-96.902756980000007", "🔗 Ver Mapa")</f>
        <v>🔗 Ver Mapa</v>
      </c>
    </row>
    <row r="1546" spans="1:12" ht="43.5" x14ac:dyDescent="0.35">
      <c r="A1546" s="6" t="s">
        <v>206</v>
      </c>
      <c r="B1546" s="6" t="s">
        <v>207</v>
      </c>
      <c r="C1546" s="6" t="s">
        <v>252</v>
      </c>
      <c r="D1546" s="6" t="s">
        <v>34</v>
      </c>
      <c r="E1546" s="6" t="s">
        <v>37</v>
      </c>
      <c r="F1546" s="6" t="s">
        <v>253</v>
      </c>
      <c r="G1546" s="6" t="s">
        <v>254</v>
      </c>
      <c r="H1546" s="6" t="s">
        <v>255</v>
      </c>
      <c r="I1546" s="6" t="s">
        <v>213</v>
      </c>
      <c r="J1546" s="6">
        <v>16.78961146</v>
      </c>
      <c r="K1546" s="6">
        <v>-96.895041509999999</v>
      </c>
      <c r="L1546" s="6" t="str">
        <f>HYPERLINK("https://maps.google.com/?q=16.78961146,-96.895041509999999", "🔗 Ver Mapa")</f>
        <v>🔗 Ver Mapa</v>
      </c>
    </row>
    <row r="1547" spans="1:12" ht="43.5" x14ac:dyDescent="0.35">
      <c r="A1547" s="5" t="s">
        <v>206</v>
      </c>
      <c r="B1547" s="5" t="s">
        <v>207</v>
      </c>
      <c r="C1547" s="5" t="s">
        <v>252</v>
      </c>
      <c r="D1547" s="5" t="s">
        <v>34</v>
      </c>
      <c r="E1547" s="5" t="s">
        <v>37</v>
      </c>
      <c r="F1547" s="5" t="s">
        <v>253</v>
      </c>
      <c r="G1547" s="5" t="s">
        <v>254</v>
      </c>
      <c r="H1547" s="5" t="s">
        <v>255</v>
      </c>
      <c r="I1547" s="5" t="s">
        <v>213</v>
      </c>
      <c r="J1547" s="5">
        <v>16.789615144867</v>
      </c>
      <c r="K1547" s="5">
        <v>-96.899681618654995</v>
      </c>
      <c r="L1547" s="5" t="str">
        <f>HYPERLINK("https://maps.google.com/?q=16.78961514486694,-96.899681618654853", "🔗 Ver Mapa")</f>
        <v>🔗 Ver Mapa</v>
      </c>
    </row>
    <row r="1548" spans="1:12" ht="43.5" x14ac:dyDescent="0.35">
      <c r="A1548" s="6" t="s">
        <v>206</v>
      </c>
      <c r="B1548" s="6" t="s">
        <v>207</v>
      </c>
      <c r="C1548" s="6" t="s">
        <v>252</v>
      </c>
      <c r="D1548" s="6" t="s">
        <v>34</v>
      </c>
      <c r="E1548" s="6" t="s">
        <v>37</v>
      </c>
      <c r="F1548" s="6" t="s">
        <v>253</v>
      </c>
      <c r="G1548" s="6" t="s">
        <v>254</v>
      </c>
      <c r="H1548" s="6" t="s">
        <v>255</v>
      </c>
      <c r="I1548" s="6" t="s">
        <v>213</v>
      </c>
      <c r="J1548" s="6">
        <v>16.789627339999999</v>
      </c>
      <c r="K1548" s="6">
        <v>-96.919701110000005</v>
      </c>
      <c r="L1548" s="6" t="str">
        <f>HYPERLINK("https://maps.google.com/?q=16.78962734,-96.919701110000005", "🔗 Ver Mapa")</f>
        <v>🔗 Ver Mapa</v>
      </c>
    </row>
    <row r="1549" spans="1:12" ht="43.5" x14ac:dyDescent="0.35">
      <c r="A1549" s="5" t="s">
        <v>206</v>
      </c>
      <c r="B1549" s="5" t="s">
        <v>207</v>
      </c>
      <c r="C1549" s="5" t="s">
        <v>252</v>
      </c>
      <c r="D1549" s="5" t="s">
        <v>34</v>
      </c>
      <c r="E1549" s="5" t="s">
        <v>37</v>
      </c>
      <c r="F1549" s="5" t="s">
        <v>253</v>
      </c>
      <c r="G1549" s="5" t="s">
        <v>254</v>
      </c>
      <c r="H1549" s="5" t="s">
        <v>255</v>
      </c>
      <c r="I1549" s="5" t="s">
        <v>213</v>
      </c>
      <c r="J1549" s="5">
        <v>16.789653319999999</v>
      </c>
      <c r="K1549" s="5">
        <v>-96.894393859999994</v>
      </c>
      <c r="L1549" s="5" t="str">
        <f>HYPERLINK("https://maps.google.com/?q=16.78965332,-96.894393859999994", "🔗 Ver Mapa")</f>
        <v>🔗 Ver Mapa</v>
      </c>
    </row>
    <row r="1550" spans="1:12" ht="43.5" x14ac:dyDescent="0.35">
      <c r="A1550" s="6" t="s">
        <v>206</v>
      </c>
      <c r="B1550" s="6" t="s">
        <v>207</v>
      </c>
      <c r="C1550" s="6" t="s">
        <v>252</v>
      </c>
      <c r="D1550" s="6" t="s">
        <v>34</v>
      </c>
      <c r="E1550" s="6" t="s">
        <v>37</v>
      </c>
      <c r="F1550" s="6" t="s">
        <v>253</v>
      </c>
      <c r="G1550" s="6" t="s">
        <v>254</v>
      </c>
      <c r="H1550" s="6" t="s">
        <v>255</v>
      </c>
      <c r="I1550" s="6" t="s">
        <v>213</v>
      </c>
      <c r="J1550" s="6">
        <v>16.789654169999999</v>
      </c>
      <c r="K1550" s="6">
        <v>-96.920153720000002</v>
      </c>
      <c r="L1550" s="6" t="str">
        <f>HYPERLINK("https://maps.google.com/?q=16.78965417,-96.920153720000002", "🔗 Ver Mapa")</f>
        <v>🔗 Ver Mapa</v>
      </c>
    </row>
    <row r="1551" spans="1:12" ht="43.5" x14ac:dyDescent="0.35">
      <c r="A1551" s="5" t="s">
        <v>206</v>
      </c>
      <c r="B1551" s="5" t="s">
        <v>207</v>
      </c>
      <c r="C1551" s="5" t="s">
        <v>252</v>
      </c>
      <c r="D1551" s="5" t="s">
        <v>34</v>
      </c>
      <c r="E1551" s="5" t="s">
        <v>37</v>
      </c>
      <c r="F1551" s="5" t="s">
        <v>253</v>
      </c>
      <c r="G1551" s="5" t="s">
        <v>254</v>
      </c>
      <c r="H1551" s="5" t="s">
        <v>255</v>
      </c>
      <c r="I1551" s="5" t="s">
        <v>213</v>
      </c>
      <c r="J1551" s="5">
        <v>16.78967046</v>
      </c>
      <c r="K1551" s="5">
        <v>-96.895429199999995</v>
      </c>
      <c r="L1551" s="5" t="str">
        <f>HYPERLINK("https://maps.google.com/?q=16.78967046,-96.895429199999995", "🔗 Ver Mapa")</f>
        <v>🔗 Ver Mapa</v>
      </c>
    </row>
    <row r="1552" spans="1:12" ht="43.5" x14ac:dyDescent="0.35">
      <c r="A1552" s="6" t="s">
        <v>206</v>
      </c>
      <c r="B1552" s="6" t="s">
        <v>207</v>
      </c>
      <c r="C1552" s="6" t="s">
        <v>252</v>
      </c>
      <c r="D1552" s="6" t="s">
        <v>34</v>
      </c>
      <c r="E1552" s="6" t="s">
        <v>37</v>
      </c>
      <c r="F1552" s="6" t="s">
        <v>253</v>
      </c>
      <c r="G1552" s="6" t="s">
        <v>254</v>
      </c>
      <c r="H1552" s="6" t="s">
        <v>255</v>
      </c>
      <c r="I1552" s="6" t="s">
        <v>213</v>
      </c>
      <c r="J1552" s="6">
        <v>16.789675339999999</v>
      </c>
      <c r="K1552" s="6">
        <v>-96.903234269999999</v>
      </c>
      <c r="L1552" s="6" t="str">
        <f>HYPERLINK("https://maps.google.com/?q=16.78967534,-96.903234269999999", "🔗 Ver Mapa")</f>
        <v>🔗 Ver Mapa</v>
      </c>
    </row>
    <row r="1553" spans="1:12" ht="43.5" x14ac:dyDescent="0.35">
      <c r="A1553" s="5" t="s">
        <v>206</v>
      </c>
      <c r="B1553" s="5" t="s">
        <v>207</v>
      </c>
      <c r="C1553" s="5" t="s">
        <v>252</v>
      </c>
      <c r="D1553" s="5" t="s">
        <v>34</v>
      </c>
      <c r="E1553" s="5" t="s">
        <v>37</v>
      </c>
      <c r="F1553" s="5" t="s">
        <v>253</v>
      </c>
      <c r="G1553" s="5" t="s">
        <v>254</v>
      </c>
      <c r="H1553" s="5" t="s">
        <v>255</v>
      </c>
      <c r="I1553" s="5" t="s">
        <v>213</v>
      </c>
      <c r="J1553" s="5">
        <v>16.789683549999999</v>
      </c>
      <c r="K1553" s="5">
        <v>-96.90297486</v>
      </c>
      <c r="L1553" s="5" t="str">
        <f>HYPERLINK("https://maps.google.com/?q=16.78968355,-96.90297486", "🔗 Ver Mapa")</f>
        <v>🔗 Ver Mapa</v>
      </c>
    </row>
    <row r="1554" spans="1:12" ht="43.5" x14ac:dyDescent="0.35">
      <c r="A1554" s="6" t="s">
        <v>206</v>
      </c>
      <c r="B1554" s="6" t="s">
        <v>207</v>
      </c>
      <c r="C1554" s="6" t="s">
        <v>252</v>
      </c>
      <c r="D1554" s="6" t="s">
        <v>34</v>
      </c>
      <c r="E1554" s="6" t="s">
        <v>37</v>
      </c>
      <c r="F1554" s="6" t="s">
        <v>253</v>
      </c>
      <c r="G1554" s="6" t="s">
        <v>254</v>
      </c>
      <c r="H1554" s="6" t="s">
        <v>255</v>
      </c>
      <c r="I1554" s="6" t="s">
        <v>213</v>
      </c>
      <c r="J1554" s="6">
        <v>16.789686509999999</v>
      </c>
      <c r="K1554" s="6">
        <v>-96.919922650000004</v>
      </c>
      <c r="L1554" s="6" t="str">
        <f>HYPERLINK("https://maps.google.com/?q=16.78968651,-96.919922650000004", "🔗 Ver Mapa")</f>
        <v>🔗 Ver Mapa</v>
      </c>
    </row>
    <row r="1555" spans="1:12" ht="43.5" x14ac:dyDescent="0.35">
      <c r="A1555" s="5" t="s">
        <v>206</v>
      </c>
      <c r="B1555" s="5" t="s">
        <v>207</v>
      </c>
      <c r="C1555" s="5" t="s">
        <v>252</v>
      </c>
      <c r="D1555" s="5" t="s">
        <v>34</v>
      </c>
      <c r="E1555" s="5" t="s">
        <v>37</v>
      </c>
      <c r="F1555" s="5" t="s">
        <v>253</v>
      </c>
      <c r="G1555" s="5" t="s">
        <v>254</v>
      </c>
      <c r="H1555" s="5" t="s">
        <v>255</v>
      </c>
      <c r="I1555" s="5" t="s">
        <v>213</v>
      </c>
      <c r="J1555" s="5">
        <v>16.789690740000001</v>
      </c>
      <c r="K1555" s="5">
        <v>-96.902563189999995</v>
      </c>
      <c r="L1555" s="5" t="str">
        <f>HYPERLINK("https://maps.google.com/?q=16.78969074,-96.902563189999995", "🔗 Ver Mapa")</f>
        <v>🔗 Ver Mapa</v>
      </c>
    </row>
    <row r="1556" spans="1:12" ht="43.5" x14ac:dyDescent="0.35">
      <c r="A1556" s="6" t="s">
        <v>206</v>
      </c>
      <c r="B1556" s="6" t="s">
        <v>207</v>
      </c>
      <c r="C1556" s="6" t="s">
        <v>252</v>
      </c>
      <c r="D1556" s="6" t="s">
        <v>34</v>
      </c>
      <c r="E1556" s="6" t="s">
        <v>37</v>
      </c>
      <c r="F1556" s="6" t="s">
        <v>253</v>
      </c>
      <c r="G1556" s="6" t="s">
        <v>254</v>
      </c>
      <c r="H1556" s="6" t="s">
        <v>255</v>
      </c>
      <c r="I1556" s="6" t="s">
        <v>213</v>
      </c>
      <c r="J1556" s="6">
        <v>16.78969721</v>
      </c>
      <c r="K1556" s="6">
        <v>-96.896129259999995</v>
      </c>
      <c r="L1556" s="6" t="str">
        <f>HYPERLINK("https://maps.google.com/?q=16.78969721,-96.896129259999995", "🔗 Ver Mapa")</f>
        <v>🔗 Ver Mapa</v>
      </c>
    </row>
    <row r="1557" spans="1:12" ht="43.5" x14ac:dyDescent="0.35">
      <c r="A1557" s="5" t="s">
        <v>206</v>
      </c>
      <c r="B1557" s="5" t="s">
        <v>207</v>
      </c>
      <c r="C1557" s="5" t="s">
        <v>252</v>
      </c>
      <c r="D1557" s="5" t="s">
        <v>34</v>
      </c>
      <c r="E1557" s="5" t="s">
        <v>37</v>
      </c>
      <c r="F1557" s="5" t="s">
        <v>253</v>
      </c>
      <c r="G1557" s="5" t="s">
        <v>254</v>
      </c>
      <c r="H1557" s="5" t="s">
        <v>255</v>
      </c>
      <c r="I1557" s="5" t="s">
        <v>213</v>
      </c>
      <c r="J1557" s="5">
        <v>16.78971535917</v>
      </c>
      <c r="K1557" s="5">
        <v>-96.900649898096006</v>
      </c>
      <c r="L1557" s="5" t="str">
        <f>HYPERLINK("https://maps.google.com/?q=16.789715359169502,-96.900649898096319", "🔗 Ver Mapa")</f>
        <v>🔗 Ver Mapa</v>
      </c>
    </row>
    <row r="1558" spans="1:12" ht="43.5" x14ac:dyDescent="0.35">
      <c r="A1558" s="6" t="s">
        <v>206</v>
      </c>
      <c r="B1558" s="6" t="s">
        <v>207</v>
      </c>
      <c r="C1558" s="6" t="s">
        <v>252</v>
      </c>
      <c r="D1558" s="6" t="s">
        <v>34</v>
      </c>
      <c r="E1558" s="6" t="s">
        <v>37</v>
      </c>
      <c r="F1558" s="6" t="s">
        <v>253</v>
      </c>
      <c r="G1558" s="6" t="s">
        <v>254</v>
      </c>
      <c r="H1558" s="6" t="s">
        <v>255</v>
      </c>
      <c r="I1558" s="6" t="s">
        <v>213</v>
      </c>
      <c r="J1558" s="6">
        <v>16.789738870000001</v>
      </c>
      <c r="K1558" s="6">
        <v>-96.899069299999994</v>
      </c>
      <c r="L1558" s="6" t="str">
        <f>HYPERLINK("https://maps.google.com/?q=16.78973887,-96.899069299999994", "🔗 Ver Mapa")</f>
        <v>🔗 Ver Mapa</v>
      </c>
    </row>
    <row r="1559" spans="1:12" ht="43.5" x14ac:dyDescent="0.35">
      <c r="A1559" s="5" t="s">
        <v>206</v>
      </c>
      <c r="B1559" s="5" t="s">
        <v>207</v>
      </c>
      <c r="C1559" s="5" t="s">
        <v>252</v>
      </c>
      <c r="D1559" s="5" t="s">
        <v>34</v>
      </c>
      <c r="E1559" s="5" t="s">
        <v>37</v>
      </c>
      <c r="F1559" s="5" t="s">
        <v>253</v>
      </c>
      <c r="G1559" s="5" t="s">
        <v>254</v>
      </c>
      <c r="H1559" s="5" t="s">
        <v>255</v>
      </c>
      <c r="I1559" s="5" t="s">
        <v>213</v>
      </c>
      <c r="J1559" s="5">
        <v>16.789744840038999</v>
      </c>
      <c r="K1559" s="5">
        <v>-96.900982071615999</v>
      </c>
      <c r="L1559" s="5" t="str">
        <f>HYPERLINK("https://maps.google.com/?q=16.789744840038537,-96.900982071615928", "🔗 Ver Mapa")</f>
        <v>🔗 Ver Mapa</v>
      </c>
    </row>
    <row r="1560" spans="1:12" ht="43.5" x14ac:dyDescent="0.35">
      <c r="A1560" s="6" t="s">
        <v>206</v>
      </c>
      <c r="B1560" s="6" t="s">
        <v>207</v>
      </c>
      <c r="C1560" s="6" t="s">
        <v>252</v>
      </c>
      <c r="D1560" s="6" t="s">
        <v>34</v>
      </c>
      <c r="E1560" s="6" t="s">
        <v>37</v>
      </c>
      <c r="F1560" s="6" t="s">
        <v>253</v>
      </c>
      <c r="G1560" s="6" t="s">
        <v>254</v>
      </c>
      <c r="H1560" s="6" t="s">
        <v>255</v>
      </c>
      <c r="I1560" s="6" t="s">
        <v>213</v>
      </c>
      <c r="J1560" s="6">
        <v>16.789768309999999</v>
      </c>
      <c r="K1560" s="6">
        <v>-96.897625529999999</v>
      </c>
      <c r="L1560" s="6" t="str">
        <f>HYPERLINK("https://maps.google.com/?q=16.78976831,-96.897625529999999", "🔗 Ver Mapa")</f>
        <v>🔗 Ver Mapa</v>
      </c>
    </row>
    <row r="1561" spans="1:12" ht="43.5" x14ac:dyDescent="0.35">
      <c r="A1561" s="5" t="s">
        <v>206</v>
      </c>
      <c r="B1561" s="5" t="s">
        <v>207</v>
      </c>
      <c r="C1561" s="5" t="s">
        <v>252</v>
      </c>
      <c r="D1561" s="5" t="s">
        <v>34</v>
      </c>
      <c r="E1561" s="5" t="s">
        <v>37</v>
      </c>
      <c r="F1561" s="5" t="s">
        <v>253</v>
      </c>
      <c r="G1561" s="5" t="s">
        <v>254</v>
      </c>
      <c r="H1561" s="5" t="s">
        <v>255</v>
      </c>
      <c r="I1561" s="5" t="s">
        <v>213</v>
      </c>
      <c r="J1561" s="5">
        <v>16.789771330000001</v>
      </c>
      <c r="K1561" s="5">
        <v>-96.893626650000002</v>
      </c>
      <c r="L1561" s="5" t="str">
        <f>HYPERLINK("https://maps.google.com/?q=16.78977133,-96.893626650000002", "🔗 Ver Mapa")</f>
        <v>🔗 Ver Mapa</v>
      </c>
    </row>
    <row r="1562" spans="1:12" ht="43.5" x14ac:dyDescent="0.35">
      <c r="A1562" s="6" t="s">
        <v>206</v>
      </c>
      <c r="B1562" s="6" t="s">
        <v>207</v>
      </c>
      <c r="C1562" s="6" t="s">
        <v>252</v>
      </c>
      <c r="D1562" s="6" t="s">
        <v>34</v>
      </c>
      <c r="E1562" s="6" t="s">
        <v>37</v>
      </c>
      <c r="F1562" s="6" t="s">
        <v>253</v>
      </c>
      <c r="G1562" s="6" t="s">
        <v>254</v>
      </c>
      <c r="H1562" s="6" t="s">
        <v>255</v>
      </c>
      <c r="I1562" s="6" t="s">
        <v>213</v>
      </c>
      <c r="J1562" s="6">
        <v>16.789773889999999</v>
      </c>
      <c r="K1562" s="6">
        <v>-96.897415240000001</v>
      </c>
      <c r="L1562" s="6" t="str">
        <f>HYPERLINK("https://maps.google.com/?q=16.78977389,-96.897415240000001", "🔗 Ver Mapa")</f>
        <v>🔗 Ver Mapa</v>
      </c>
    </row>
    <row r="1563" spans="1:12" ht="43.5" x14ac:dyDescent="0.35">
      <c r="A1563" s="5" t="s">
        <v>206</v>
      </c>
      <c r="B1563" s="5" t="s">
        <v>207</v>
      </c>
      <c r="C1563" s="5" t="s">
        <v>252</v>
      </c>
      <c r="D1563" s="5" t="s">
        <v>34</v>
      </c>
      <c r="E1563" s="5" t="s">
        <v>37</v>
      </c>
      <c r="F1563" s="5" t="s">
        <v>253</v>
      </c>
      <c r="G1563" s="5" t="s">
        <v>254</v>
      </c>
      <c r="H1563" s="5" t="s">
        <v>255</v>
      </c>
      <c r="I1563" s="5" t="s">
        <v>213</v>
      </c>
      <c r="J1563" s="5">
        <v>16.789783190000001</v>
      </c>
      <c r="K1563" s="5">
        <v>-96.905400240000006</v>
      </c>
      <c r="L1563" s="5" t="str">
        <f>HYPERLINK("https://maps.google.com/?q=16.78978319,-96.905400240000006", "🔗 Ver Mapa")</f>
        <v>🔗 Ver Mapa</v>
      </c>
    </row>
    <row r="1564" spans="1:12" ht="43.5" x14ac:dyDescent="0.35">
      <c r="A1564" s="6" t="s">
        <v>206</v>
      </c>
      <c r="B1564" s="6" t="s">
        <v>207</v>
      </c>
      <c r="C1564" s="6" t="s">
        <v>252</v>
      </c>
      <c r="D1564" s="6" t="s">
        <v>34</v>
      </c>
      <c r="E1564" s="6" t="s">
        <v>37</v>
      </c>
      <c r="F1564" s="6" t="s">
        <v>253</v>
      </c>
      <c r="G1564" s="6" t="s">
        <v>254</v>
      </c>
      <c r="H1564" s="6" t="s">
        <v>255</v>
      </c>
      <c r="I1564" s="6" t="s">
        <v>213</v>
      </c>
      <c r="J1564" s="6">
        <v>16.78978742</v>
      </c>
      <c r="K1564" s="6">
        <v>-96.905279809999996</v>
      </c>
      <c r="L1564" s="6" t="str">
        <f>HYPERLINK("https://maps.google.com/?q=16.78978742,-96.905279809999996", "🔗 Ver Mapa")</f>
        <v>🔗 Ver Mapa</v>
      </c>
    </row>
    <row r="1565" spans="1:12" ht="43.5" x14ac:dyDescent="0.35">
      <c r="A1565" s="5" t="s">
        <v>206</v>
      </c>
      <c r="B1565" s="5" t="s">
        <v>207</v>
      </c>
      <c r="C1565" s="5" t="s">
        <v>252</v>
      </c>
      <c r="D1565" s="5" t="s">
        <v>34</v>
      </c>
      <c r="E1565" s="5" t="s">
        <v>37</v>
      </c>
      <c r="F1565" s="5" t="s">
        <v>253</v>
      </c>
      <c r="G1565" s="5" t="s">
        <v>254</v>
      </c>
      <c r="H1565" s="5" t="s">
        <v>255</v>
      </c>
      <c r="I1565" s="5" t="s">
        <v>213</v>
      </c>
      <c r="J1565" s="5">
        <v>16.78978914</v>
      </c>
      <c r="K1565" s="5">
        <v>-96.895897540000007</v>
      </c>
      <c r="L1565" s="5" t="str">
        <f>HYPERLINK("https://maps.google.com/?q=16.78978914,-96.895897540000007", "🔗 Ver Mapa")</f>
        <v>🔗 Ver Mapa</v>
      </c>
    </row>
    <row r="1566" spans="1:12" ht="43.5" x14ac:dyDescent="0.35">
      <c r="A1566" s="6" t="s">
        <v>206</v>
      </c>
      <c r="B1566" s="6" t="s">
        <v>207</v>
      </c>
      <c r="C1566" s="6" t="s">
        <v>252</v>
      </c>
      <c r="D1566" s="6" t="s">
        <v>34</v>
      </c>
      <c r="E1566" s="6" t="s">
        <v>37</v>
      </c>
      <c r="F1566" s="6" t="s">
        <v>253</v>
      </c>
      <c r="G1566" s="6" t="s">
        <v>254</v>
      </c>
      <c r="H1566" s="6" t="s">
        <v>255</v>
      </c>
      <c r="I1566" s="6" t="s">
        <v>213</v>
      </c>
      <c r="J1566" s="6">
        <v>16.78979043</v>
      </c>
      <c r="K1566" s="6">
        <v>-96.902455990000007</v>
      </c>
      <c r="L1566" s="6" t="str">
        <f>HYPERLINK("https://maps.google.com/?q=16.78979043,-96.902455990000007", "🔗 Ver Mapa")</f>
        <v>🔗 Ver Mapa</v>
      </c>
    </row>
    <row r="1567" spans="1:12" ht="43.5" x14ac:dyDescent="0.35">
      <c r="A1567" s="5" t="s">
        <v>206</v>
      </c>
      <c r="B1567" s="5" t="s">
        <v>207</v>
      </c>
      <c r="C1567" s="5" t="s">
        <v>252</v>
      </c>
      <c r="D1567" s="5" t="s">
        <v>34</v>
      </c>
      <c r="E1567" s="5" t="s">
        <v>37</v>
      </c>
      <c r="F1567" s="5" t="s">
        <v>253</v>
      </c>
      <c r="G1567" s="5" t="s">
        <v>254</v>
      </c>
      <c r="H1567" s="5" t="s">
        <v>255</v>
      </c>
      <c r="I1567" s="5" t="s">
        <v>213</v>
      </c>
      <c r="J1567" s="5">
        <v>16.789793620000001</v>
      </c>
      <c r="K1567" s="5">
        <v>-96.90206053</v>
      </c>
      <c r="L1567" s="5" t="str">
        <f>HYPERLINK("https://maps.google.com/?q=16.78979362,-96.90206053", "🔗 Ver Mapa")</f>
        <v>🔗 Ver Mapa</v>
      </c>
    </row>
    <row r="1568" spans="1:12" ht="43.5" x14ac:dyDescent="0.35">
      <c r="A1568" s="6" t="s">
        <v>206</v>
      </c>
      <c r="B1568" s="6" t="s">
        <v>207</v>
      </c>
      <c r="C1568" s="6" t="s">
        <v>252</v>
      </c>
      <c r="D1568" s="6" t="s">
        <v>34</v>
      </c>
      <c r="E1568" s="6" t="s">
        <v>37</v>
      </c>
      <c r="F1568" s="6" t="s">
        <v>253</v>
      </c>
      <c r="G1568" s="6" t="s">
        <v>254</v>
      </c>
      <c r="H1568" s="6" t="s">
        <v>255</v>
      </c>
      <c r="I1568" s="6" t="s">
        <v>213</v>
      </c>
      <c r="J1568" s="6">
        <v>16.789808417513001</v>
      </c>
      <c r="K1568" s="6">
        <v>-96.900306581161004</v>
      </c>
      <c r="L1568" s="6" t="str">
        <f>HYPERLINK("https://maps.google.com/?q=16.789808417513047,-96.900306581160635", "🔗 Ver Mapa")</f>
        <v>🔗 Ver Mapa</v>
      </c>
    </row>
    <row r="1569" spans="1:12" ht="43.5" x14ac:dyDescent="0.35">
      <c r="A1569" s="5" t="s">
        <v>206</v>
      </c>
      <c r="B1569" s="5" t="s">
        <v>207</v>
      </c>
      <c r="C1569" s="5" t="s">
        <v>252</v>
      </c>
      <c r="D1569" s="5" t="s">
        <v>34</v>
      </c>
      <c r="E1569" s="5" t="s">
        <v>37</v>
      </c>
      <c r="F1569" s="5" t="s">
        <v>253</v>
      </c>
      <c r="G1569" s="5" t="s">
        <v>254</v>
      </c>
      <c r="H1569" s="5" t="s">
        <v>255</v>
      </c>
      <c r="I1569" s="5" t="s">
        <v>213</v>
      </c>
      <c r="J1569" s="5">
        <v>16.789809892699999</v>
      </c>
      <c r="K1569" s="5">
        <v>-96.901522402132002</v>
      </c>
      <c r="L1569" s="5" t="str">
        <f>HYPERLINK("https://maps.google.com/?q=16.78980989269964,-96.901522402131874", "🔗 Ver Mapa")</f>
        <v>🔗 Ver Mapa</v>
      </c>
    </row>
    <row r="1570" spans="1:12" ht="43.5" x14ac:dyDescent="0.35">
      <c r="A1570" s="6" t="s">
        <v>206</v>
      </c>
      <c r="B1570" s="6" t="s">
        <v>207</v>
      </c>
      <c r="C1570" s="6" t="s">
        <v>252</v>
      </c>
      <c r="D1570" s="6" t="s">
        <v>34</v>
      </c>
      <c r="E1570" s="6" t="s">
        <v>37</v>
      </c>
      <c r="F1570" s="6" t="s">
        <v>253</v>
      </c>
      <c r="G1570" s="6" t="s">
        <v>254</v>
      </c>
      <c r="H1570" s="6" t="s">
        <v>255</v>
      </c>
      <c r="I1570" s="6" t="s">
        <v>213</v>
      </c>
      <c r="J1570" s="6">
        <v>16.789821103228</v>
      </c>
      <c r="K1570" s="6">
        <v>-96.899992676759993</v>
      </c>
      <c r="L1570" s="6" t="str">
        <f>HYPERLINK("https://maps.google.com/?q=16.789821103228086,-96.899992676759666", "🔗 Ver Mapa")</f>
        <v>🔗 Ver Mapa</v>
      </c>
    </row>
    <row r="1571" spans="1:12" ht="43.5" x14ac:dyDescent="0.35">
      <c r="A1571" s="5" t="s">
        <v>206</v>
      </c>
      <c r="B1571" s="5" t="s">
        <v>207</v>
      </c>
      <c r="C1571" s="5" t="s">
        <v>252</v>
      </c>
      <c r="D1571" s="5" t="s">
        <v>34</v>
      </c>
      <c r="E1571" s="5" t="s">
        <v>37</v>
      </c>
      <c r="F1571" s="5" t="s">
        <v>253</v>
      </c>
      <c r="G1571" s="5" t="s">
        <v>254</v>
      </c>
      <c r="H1571" s="5" t="s">
        <v>255</v>
      </c>
      <c r="I1571" s="5" t="s">
        <v>213</v>
      </c>
      <c r="J1571" s="5">
        <v>16.78982353</v>
      </c>
      <c r="K1571" s="5">
        <v>-96.904209789999996</v>
      </c>
      <c r="L1571" s="5" t="str">
        <f>HYPERLINK("https://maps.google.com/?q=16.78982353,-96.904209789999996", "🔗 Ver Mapa")</f>
        <v>🔗 Ver Mapa</v>
      </c>
    </row>
    <row r="1572" spans="1:12" ht="43.5" x14ac:dyDescent="0.35">
      <c r="A1572" s="6" t="s">
        <v>206</v>
      </c>
      <c r="B1572" s="6" t="s">
        <v>207</v>
      </c>
      <c r="C1572" s="6" t="s">
        <v>252</v>
      </c>
      <c r="D1572" s="6" t="s">
        <v>34</v>
      </c>
      <c r="E1572" s="6" t="s">
        <v>37</v>
      </c>
      <c r="F1572" s="6" t="s">
        <v>253</v>
      </c>
      <c r="G1572" s="6" t="s">
        <v>254</v>
      </c>
      <c r="H1572" s="6" t="s">
        <v>255</v>
      </c>
      <c r="I1572" s="6" t="s">
        <v>213</v>
      </c>
      <c r="J1572" s="6">
        <v>16.789824660000001</v>
      </c>
      <c r="K1572" s="6">
        <v>-96.894446220000006</v>
      </c>
      <c r="L1572" s="6" t="str">
        <f>HYPERLINK("https://maps.google.com/?q=16.78982466,-96.894446220000006", "🔗 Ver Mapa")</f>
        <v>🔗 Ver Mapa</v>
      </c>
    </row>
    <row r="1573" spans="1:12" ht="43.5" x14ac:dyDescent="0.35">
      <c r="A1573" s="5" t="s">
        <v>206</v>
      </c>
      <c r="B1573" s="5" t="s">
        <v>207</v>
      </c>
      <c r="C1573" s="5" t="s">
        <v>252</v>
      </c>
      <c r="D1573" s="5" t="s">
        <v>34</v>
      </c>
      <c r="E1573" s="5" t="s">
        <v>37</v>
      </c>
      <c r="F1573" s="5" t="s">
        <v>253</v>
      </c>
      <c r="G1573" s="5" t="s">
        <v>254</v>
      </c>
      <c r="H1573" s="5" t="s">
        <v>255</v>
      </c>
      <c r="I1573" s="5" t="s">
        <v>213</v>
      </c>
      <c r="J1573" s="5">
        <v>16.789830080000002</v>
      </c>
      <c r="K1573" s="5">
        <v>-96.903683849999993</v>
      </c>
      <c r="L1573" s="5" t="str">
        <f>HYPERLINK("https://maps.google.com/?q=16.78983008,-96.903683849999993", "🔗 Ver Mapa")</f>
        <v>🔗 Ver Mapa</v>
      </c>
    </row>
    <row r="1574" spans="1:12" ht="43.5" x14ac:dyDescent="0.35">
      <c r="A1574" s="6" t="s">
        <v>206</v>
      </c>
      <c r="B1574" s="6" t="s">
        <v>207</v>
      </c>
      <c r="C1574" s="6" t="s">
        <v>252</v>
      </c>
      <c r="D1574" s="6" t="s">
        <v>34</v>
      </c>
      <c r="E1574" s="6" t="s">
        <v>37</v>
      </c>
      <c r="F1574" s="6" t="s">
        <v>253</v>
      </c>
      <c r="G1574" s="6" t="s">
        <v>254</v>
      </c>
      <c r="H1574" s="6" t="s">
        <v>255</v>
      </c>
      <c r="I1574" s="6" t="s">
        <v>213</v>
      </c>
      <c r="J1574" s="6">
        <v>16.789845843898998</v>
      </c>
      <c r="K1574" s="6">
        <v>-96.899547355443005</v>
      </c>
      <c r="L1574" s="6" t="str">
        <f>HYPERLINK("https://maps.google.com/?q=16.789845843898707,-96.899547355443431", "🔗 Ver Mapa")</f>
        <v>🔗 Ver Mapa</v>
      </c>
    </row>
    <row r="1575" spans="1:12" ht="43.5" x14ac:dyDescent="0.35">
      <c r="A1575" s="5" t="s">
        <v>206</v>
      </c>
      <c r="B1575" s="5" t="s">
        <v>207</v>
      </c>
      <c r="C1575" s="5" t="s">
        <v>252</v>
      </c>
      <c r="D1575" s="5" t="s">
        <v>34</v>
      </c>
      <c r="E1575" s="5" t="s">
        <v>37</v>
      </c>
      <c r="F1575" s="5" t="s">
        <v>253</v>
      </c>
      <c r="G1575" s="5" t="s">
        <v>254</v>
      </c>
      <c r="H1575" s="5" t="s">
        <v>255</v>
      </c>
      <c r="I1575" s="5" t="s">
        <v>213</v>
      </c>
      <c r="J1575" s="5">
        <v>16.789857099999999</v>
      </c>
      <c r="K1575" s="5">
        <v>-96.898207200000002</v>
      </c>
      <c r="L1575" s="5" t="str">
        <f>HYPERLINK("https://maps.google.com/?q=16.7898571,-96.898207200000002", "🔗 Ver Mapa")</f>
        <v>🔗 Ver Mapa</v>
      </c>
    </row>
    <row r="1576" spans="1:12" ht="43.5" x14ac:dyDescent="0.35">
      <c r="A1576" s="6" t="s">
        <v>206</v>
      </c>
      <c r="B1576" s="6" t="s">
        <v>207</v>
      </c>
      <c r="C1576" s="6" t="s">
        <v>252</v>
      </c>
      <c r="D1576" s="6" t="s">
        <v>34</v>
      </c>
      <c r="E1576" s="6" t="s">
        <v>37</v>
      </c>
      <c r="F1576" s="6" t="s">
        <v>253</v>
      </c>
      <c r="G1576" s="6" t="s">
        <v>254</v>
      </c>
      <c r="H1576" s="6" t="s">
        <v>255</v>
      </c>
      <c r="I1576" s="6" t="s">
        <v>213</v>
      </c>
      <c r="J1576" s="6">
        <v>16.78985797</v>
      </c>
      <c r="K1576" s="6">
        <v>-96.897820229999994</v>
      </c>
      <c r="L1576" s="6" t="str">
        <f>HYPERLINK("https://maps.google.com/?q=16.78985797,-96.897820229999994", "🔗 Ver Mapa")</f>
        <v>🔗 Ver Mapa</v>
      </c>
    </row>
    <row r="1577" spans="1:12" ht="43.5" x14ac:dyDescent="0.35">
      <c r="A1577" s="5" t="s">
        <v>206</v>
      </c>
      <c r="B1577" s="5" t="s">
        <v>207</v>
      </c>
      <c r="C1577" s="5" t="s">
        <v>252</v>
      </c>
      <c r="D1577" s="5" t="s">
        <v>34</v>
      </c>
      <c r="E1577" s="5" t="s">
        <v>37</v>
      </c>
      <c r="F1577" s="5" t="s">
        <v>253</v>
      </c>
      <c r="G1577" s="5" t="s">
        <v>254</v>
      </c>
      <c r="H1577" s="5" t="s">
        <v>255</v>
      </c>
      <c r="I1577" s="5" t="s">
        <v>213</v>
      </c>
      <c r="J1577" s="5">
        <v>16.789886190000001</v>
      </c>
      <c r="K1577" s="5">
        <v>-96.893726970000003</v>
      </c>
      <c r="L1577" s="5" t="str">
        <f>HYPERLINK("https://maps.google.com/?q=16.78988619,-96.893726970000003", "🔗 Ver Mapa")</f>
        <v>🔗 Ver Mapa</v>
      </c>
    </row>
    <row r="1578" spans="1:12" ht="43.5" x14ac:dyDescent="0.35">
      <c r="A1578" s="6" t="s">
        <v>206</v>
      </c>
      <c r="B1578" s="6" t="s">
        <v>207</v>
      </c>
      <c r="C1578" s="6" t="s">
        <v>252</v>
      </c>
      <c r="D1578" s="6" t="s">
        <v>34</v>
      </c>
      <c r="E1578" s="6" t="s">
        <v>37</v>
      </c>
      <c r="F1578" s="6" t="s">
        <v>253</v>
      </c>
      <c r="G1578" s="6" t="s">
        <v>254</v>
      </c>
      <c r="H1578" s="6" t="s">
        <v>255</v>
      </c>
      <c r="I1578" s="6" t="s">
        <v>213</v>
      </c>
      <c r="J1578" s="6">
        <v>16.789887870000001</v>
      </c>
      <c r="K1578" s="6">
        <v>-96.902717870000004</v>
      </c>
      <c r="L1578" s="6" t="str">
        <f>HYPERLINK("https://maps.google.com/?q=16.78988787,-96.902717870000004", "🔗 Ver Mapa")</f>
        <v>🔗 Ver Mapa</v>
      </c>
    </row>
    <row r="1579" spans="1:12" ht="43.5" x14ac:dyDescent="0.35">
      <c r="A1579" s="5" t="s">
        <v>206</v>
      </c>
      <c r="B1579" s="5" t="s">
        <v>207</v>
      </c>
      <c r="C1579" s="5" t="s">
        <v>252</v>
      </c>
      <c r="D1579" s="5" t="s">
        <v>34</v>
      </c>
      <c r="E1579" s="5" t="s">
        <v>37</v>
      </c>
      <c r="F1579" s="5" t="s">
        <v>253</v>
      </c>
      <c r="G1579" s="5" t="s">
        <v>254</v>
      </c>
      <c r="H1579" s="5" t="s">
        <v>255</v>
      </c>
      <c r="I1579" s="5" t="s">
        <v>213</v>
      </c>
      <c r="J1579" s="5">
        <v>16.78988799</v>
      </c>
      <c r="K1579" s="5">
        <v>-96.905053719999998</v>
      </c>
      <c r="L1579" s="5" t="str">
        <f>HYPERLINK("https://maps.google.com/?q=16.78988799,-96.905053719999998", "🔗 Ver Mapa")</f>
        <v>🔗 Ver Mapa</v>
      </c>
    </row>
    <row r="1580" spans="1:12" ht="43.5" x14ac:dyDescent="0.35">
      <c r="A1580" s="6" t="s">
        <v>206</v>
      </c>
      <c r="B1580" s="6" t="s">
        <v>207</v>
      </c>
      <c r="C1580" s="6" t="s">
        <v>252</v>
      </c>
      <c r="D1580" s="6" t="s">
        <v>34</v>
      </c>
      <c r="E1580" s="6" t="s">
        <v>37</v>
      </c>
      <c r="F1580" s="6" t="s">
        <v>253</v>
      </c>
      <c r="G1580" s="6" t="s">
        <v>254</v>
      </c>
      <c r="H1580" s="6" t="s">
        <v>255</v>
      </c>
      <c r="I1580" s="6" t="s">
        <v>213</v>
      </c>
      <c r="J1580" s="6">
        <v>16.789894759999999</v>
      </c>
      <c r="K1580" s="6">
        <v>-96.89477042</v>
      </c>
      <c r="L1580" s="6" t="str">
        <f>HYPERLINK("https://maps.google.com/?q=16.78989476,-96.89477042", "🔗 Ver Mapa")</f>
        <v>🔗 Ver Mapa</v>
      </c>
    </row>
    <row r="1581" spans="1:12" ht="43.5" x14ac:dyDescent="0.35">
      <c r="A1581" s="5" t="s">
        <v>206</v>
      </c>
      <c r="B1581" s="5" t="s">
        <v>207</v>
      </c>
      <c r="C1581" s="5" t="s">
        <v>252</v>
      </c>
      <c r="D1581" s="5" t="s">
        <v>34</v>
      </c>
      <c r="E1581" s="5" t="s">
        <v>37</v>
      </c>
      <c r="F1581" s="5" t="s">
        <v>253</v>
      </c>
      <c r="G1581" s="5" t="s">
        <v>254</v>
      </c>
      <c r="H1581" s="5" t="s">
        <v>255</v>
      </c>
      <c r="I1581" s="5" t="s">
        <v>213</v>
      </c>
      <c r="J1581" s="5">
        <v>16.789920779999999</v>
      </c>
      <c r="K1581" s="5">
        <v>-96.903982189999994</v>
      </c>
      <c r="L1581" s="5" t="str">
        <f>HYPERLINK("https://maps.google.com/?q=16.78992078,-96.903982189999994", "🔗 Ver Mapa")</f>
        <v>🔗 Ver Mapa</v>
      </c>
    </row>
    <row r="1582" spans="1:12" ht="43.5" x14ac:dyDescent="0.35">
      <c r="A1582" s="6" t="s">
        <v>206</v>
      </c>
      <c r="B1582" s="6" t="s">
        <v>207</v>
      </c>
      <c r="C1582" s="6" t="s">
        <v>252</v>
      </c>
      <c r="D1582" s="6" t="s">
        <v>34</v>
      </c>
      <c r="E1582" s="6" t="s">
        <v>37</v>
      </c>
      <c r="F1582" s="6" t="s">
        <v>253</v>
      </c>
      <c r="G1582" s="6" t="s">
        <v>254</v>
      </c>
      <c r="H1582" s="6" t="s">
        <v>255</v>
      </c>
      <c r="I1582" s="6" t="s">
        <v>213</v>
      </c>
      <c r="J1582" s="6">
        <v>16.78993019</v>
      </c>
      <c r="K1582" s="6">
        <v>-96.897542729999998</v>
      </c>
      <c r="L1582" s="6" t="str">
        <f>HYPERLINK("https://maps.google.com/?q=16.78993019,-96.897542729999998", "🔗 Ver Mapa")</f>
        <v>🔗 Ver Mapa</v>
      </c>
    </row>
    <row r="1583" spans="1:12" ht="43.5" x14ac:dyDescent="0.35">
      <c r="A1583" s="5" t="s">
        <v>206</v>
      </c>
      <c r="B1583" s="5" t="s">
        <v>207</v>
      </c>
      <c r="C1583" s="5" t="s">
        <v>252</v>
      </c>
      <c r="D1583" s="5" t="s">
        <v>34</v>
      </c>
      <c r="E1583" s="5" t="s">
        <v>37</v>
      </c>
      <c r="F1583" s="5" t="s">
        <v>253</v>
      </c>
      <c r="G1583" s="5" t="s">
        <v>254</v>
      </c>
      <c r="H1583" s="5" t="s">
        <v>255</v>
      </c>
      <c r="I1583" s="5" t="s">
        <v>213</v>
      </c>
      <c r="J1583" s="5">
        <v>16.789931079999999</v>
      </c>
      <c r="K1583" s="5">
        <v>-96.893941350000006</v>
      </c>
      <c r="L1583" s="5" t="str">
        <f>HYPERLINK("https://maps.google.com/?q=16.78993108,-96.893941350000006", "🔗 Ver Mapa")</f>
        <v>🔗 Ver Mapa</v>
      </c>
    </row>
    <row r="1584" spans="1:12" ht="43.5" x14ac:dyDescent="0.35">
      <c r="A1584" s="6" t="s">
        <v>206</v>
      </c>
      <c r="B1584" s="6" t="s">
        <v>207</v>
      </c>
      <c r="C1584" s="6" t="s">
        <v>252</v>
      </c>
      <c r="D1584" s="6" t="s">
        <v>34</v>
      </c>
      <c r="E1584" s="6" t="s">
        <v>37</v>
      </c>
      <c r="F1584" s="6" t="s">
        <v>253</v>
      </c>
      <c r="G1584" s="6" t="s">
        <v>254</v>
      </c>
      <c r="H1584" s="6" t="s">
        <v>255</v>
      </c>
      <c r="I1584" s="6" t="s">
        <v>213</v>
      </c>
      <c r="J1584" s="6">
        <v>16.7899514</v>
      </c>
      <c r="K1584" s="6">
        <v>-96.895312869999998</v>
      </c>
      <c r="L1584" s="6" t="str">
        <f>HYPERLINK("https://maps.google.com/?q=16.7899514,-96.895312869999998", "🔗 Ver Mapa")</f>
        <v>🔗 Ver Mapa</v>
      </c>
    </row>
    <row r="1585" spans="1:12" ht="43.5" x14ac:dyDescent="0.35">
      <c r="A1585" s="5" t="s">
        <v>206</v>
      </c>
      <c r="B1585" s="5" t="s">
        <v>207</v>
      </c>
      <c r="C1585" s="5" t="s">
        <v>252</v>
      </c>
      <c r="D1585" s="5" t="s">
        <v>34</v>
      </c>
      <c r="E1585" s="5" t="s">
        <v>37</v>
      </c>
      <c r="F1585" s="5" t="s">
        <v>253</v>
      </c>
      <c r="G1585" s="5" t="s">
        <v>254</v>
      </c>
      <c r="H1585" s="5" t="s">
        <v>255</v>
      </c>
      <c r="I1585" s="5" t="s">
        <v>213</v>
      </c>
      <c r="J1585" s="5">
        <v>16.789989370000001</v>
      </c>
      <c r="K1585" s="5">
        <v>-96.904918570000007</v>
      </c>
      <c r="L1585" s="5" t="str">
        <f>HYPERLINK("https://maps.google.com/?q=16.78998937,-96.904918570000007", "🔗 Ver Mapa")</f>
        <v>🔗 Ver Mapa</v>
      </c>
    </row>
    <row r="1586" spans="1:12" ht="43.5" x14ac:dyDescent="0.35">
      <c r="A1586" s="6" t="s">
        <v>206</v>
      </c>
      <c r="B1586" s="6" t="s">
        <v>207</v>
      </c>
      <c r="C1586" s="6" t="s">
        <v>252</v>
      </c>
      <c r="D1586" s="6" t="s">
        <v>34</v>
      </c>
      <c r="E1586" s="6" t="s">
        <v>37</v>
      </c>
      <c r="F1586" s="6" t="s">
        <v>253</v>
      </c>
      <c r="G1586" s="6" t="s">
        <v>254</v>
      </c>
      <c r="H1586" s="6" t="s">
        <v>255</v>
      </c>
      <c r="I1586" s="6" t="s">
        <v>213</v>
      </c>
      <c r="J1586" s="6">
        <v>16.789991069999999</v>
      </c>
      <c r="K1586" s="6">
        <v>-96.898896460000003</v>
      </c>
      <c r="L1586" s="6" t="str">
        <f>HYPERLINK("https://maps.google.com/?q=16.78999107,-96.898896460000003", "🔗 Ver Mapa")</f>
        <v>🔗 Ver Mapa</v>
      </c>
    </row>
    <row r="1587" spans="1:12" ht="43.5" x14ac:dyDescent="0.35">
      <c r="A1587" s="5" t="s">
        <v>206</v>
      </c>
      <c r="B1587" s="5" t="s">
        <v>207</v>
      </c>
      <c r="C1587" s="5" t="s">
        <v>252</v>
      </c>
      <c r="D1587" s="5" t="s">
        <v>34</v>
      </c>
      <c r="E1587" s="5" t="s">
        <v>37</v>
      </c>
      <c r="F1587" s="5" t="s">
        <v>253</v>
      </c>
      <c r="G1587" s="5" t="s">
        <v>254</v>
      </c>
      <c r="H1587" s="5" t="s">
        <v>255</v>
      </c>
      <c r="I1587" s="5" t="s">
        <v>213</v>
      </c>
      <c r="J1587" s="5">
        <v>16.789998499999999</v>
      </c>
      <c r="K1587" s="5">
        <v>-96.899039770000002</v>
      </c>
      <c r="L1587" s="5" t="str">
        <f>HYPERLINK("https://maps.google.com/?q=16.7899985,-96.899039770000002", "🔗 Ver Mapa")</f>
        <v>🔗 Ver Mapa</v>
      </c>
    </row>
    <row r="1588" spans="1:12" ht="43.5" x14ac:dyDescent="0.35">
      <c r="A1588" s="6" t="s">
        <v>206</v>
      </c>
      <c r="B1588" s="6" t="s">
        <v>207</v>
      </c>
      <c r="C1588" s="6" t="s">
        <v>252</v>
      </c>
      <c r="D1588" s="6" t="s">
        <v>34</v>
      </c>
      <c r="E1588" s="6" t="s">
        <v>37</v>
      </c>
      <c r="F1588" s="6" t="s">
        <v>253</v>
      </c>
      <c r="G1588" s="6" t="s">
        <v>254</v>
      </c>
      <c r="H1588" s="6" t="s">
        <v>255</v>
      </c>
      <c r="I1588" s="6" t="s">
        <v>213</v>
      </c>
      <c r="J1588" s="6">
        <v>16.790009980600001</v>
      </c>
      <c r="K1588" s="6">
        <v>-96.899404112053006</v>
      </c>
      <c r="L1588" s="6" t="str">
        <f>HYPERLINK("https://maps.google.com/?q=16.790009980600356,-96.89940411205265", "🔗 Ver Mapa")</f>
        <v>🔗 Ver Mapa</v>
      </c>
    </row>
    <row r="1589" spans="1:12" ht="43.5" x14ac:dyDescent="0.35">
      <c r="A1589" s="5" t="s">
        <v>206</v>
      </c>
      <c r="B1589" s="5" t="s">
        <v>207</v>
      </c>
      <c r="C1589" s="5" t="s">
        <v>252</v>
      </c>
      <c r="D1589" s="5" t="s">
        <v>34</v>
      </c>
      <c r="E1589" s="5" t="s">
        <v>37</v>
      </c>
      <c r="F1589" s="5" t="s">
        <v>253</v>
      </c>
      <c r="G1589" s="5" t="s">
        <v>254</v>
      </c>
      <c r="H1589" s="5" t="s">
        <v>255</v>
      </c>
      <c r="I1589" s="5" t="s">
        <v>213</v>
      </c>
      <c r="J1589" s="5">
        <v>16.79003123</v>
      </c>
      <c r="K1589" s="5">
        <v>-96.897861079999998</v>
      </c>
      <c r="L1589" s="5" t="str">
        <f>HYPERLINK("https://maps.google.com/?q=16.79003123,-96.897861079999998", "🔗 Ver Mapa")</f>
        <v>🔗 Ver Mapa</v>
      </c>
    </row>
    <row r="1590" spans="1:12" ht="43.5" x14ac:dyDescent="0.35">
      <c r="A1590" s="6" t="s">
        <v>206</v>
      </c>
      <c r="B1590" s="6" t="s">
        <v>207</v>
      </c>
      <c r="C1590" s="6" t="s">
        <v>252</v>
      </c>
      <c r="D1590" s="6" t="s">
        <v>34</v>
      </c>
      <c r="E1590" s="6" t="s">
        <v>37</v>
      </c>
      <c r="F1590" s="6" t="s">
        <v>253</v>
      </c>
      <c r="G1590" s="6" t="s">
        <v>254</v>
      </c>
      <c r="H1590" s="6" t="s">
        <v>255</v>
      </c>
      <c r="I1590" s="6" t="s">
        <v>213</v>
      </c>
      <c r="J1590" s="6">
        <v>16.790053480000001</v>
      </c>
      <c r="K1590" s="6">
        <v>-96.898257290000004</v>
      </c>
      <c r="L1590" s="6" t="str">
        <f>HYPERLINK("https://maps.google.com/?q=16.79005348,-96.898257290000004", "🔗 Ver Mapa")</f>
        <v>🔗 Ver Mapa</v>
      </c>
    </row>
    <row r="1591" spans="1:12" ht="43.5" x14ac:dyDescent="0.35">
      <c r="A1591" s="5" t="s">
        <v>206</v>
      </c>
      <c r="B1591" s="5" t="s">
        <v>207</v>
      </c>
      <c r="C1591" s="5" t="s">
        <v>252</v>
      </c>
      <c r="D1591" s="5" t="s">
        <v>34</v>
      </c>
      <c r="E1591" s="5" t="s">
        <v>37</v>
      </c>
      <c r="F1591" s="5" t="s">
        <v>253</v>
      </c>
      <c r="G1591" s="5" t="s">
        <v>254</v>
      </c>
      <c r="H1591" s="5" t="s">
        <v>255</v>
      </c>
      <c r="I1591" s="5" t="s">
        <v>213</v>
      </c>
      <c r="J1591" s="5">
        <v>16.790089429999998</v>
      </c>
      <c r="K1591" s="5">
        <v>-96.903704279999999</v>
      </c>
      <c r="L1591" s="5" t="str">
        <f>HYPERLINK("https://maps.google.com/?q=16.79008943,-96.903704279999999", "🔗 Ver Mapa")</f>
        <v>🔗 Ver Mapa</v>
      </c>
    </row>
    <row r="1592" spans="1:12" ht="43.5" x14ac:dyDescent="0.35">
      <c r="A1592" s="6" t="s">
        <v>206</v>
      </c>
      <c r="B1592" s="6" t="s">
        <v>207</v>
      </c>
      <c r="C1592" s="6" t="s">
        <v>252</v>
      </c>
      <c r="D1592" s="6" t="s">
        <v>34</v>
      </c>
      <c r="E1592" s="6" t="s">
        <v>37</v>
      </c>
      <c r="F1592" s="6" t="s">
        <v>253</v>
      </c>
      <c r="G1592" s="6" t="s">
        <v>254</v>
      </c>
      <c r="H1592" s="6" t="s">
        <v>255</v>
      </c>
      <c r="I1592" s="6" t="s">
        <v>213</v>
      </c>
      <c r="J1592" s="6">
        <v>16.79009478</v>
      </c>
      <c r="K1592" s="6">
        <v>-96.895461449999999</v>
      </c>
      <c r="L1592" s="6" t="str">
        <f>HYPERLINK("https://maps.google.com/?q=16.79009478,-96.895461449999999", "🔗 Ver Mapa")</f>
        <v>🔗 Ver Mapa</v>
      </c>
    </row>
    <row r="1593" spans="1:12" ht="43.5" x14ac:dyDescent="0.35">
      <c r="A1593" s="5" t="s">
        <v>206</v>
      </c>
      <c r="B1593" s="5" t="s">
        <v>207</v>
      </c>
      <c r="C1593" s="5" t="s">
        <v>252</v>
      </c>
      <c r="D1593" s="5" t="s">
        <v>34</v>
      </c>
      <c r="E1593" s="5" t="s">
        <v>37</v>
      </c>
      <c r="F1593" s="5" t="s">
        <v>253</v>
      </c>
      <c r="G1593" s="5" t="s">
        <v>254</v>
      </c>
      <c r="H1593" s="5" t="s">
        <v>255</v>
      </c>
      <c r="I1593" s="5" t="s">
        <v>213</v>
      </c>
      <c r="J1593" s="5">
        <v>16.790106590000001</v>
      </c>
      <c r="K1593" s="5">
        <v>-96.89850131</v>
      </c>
      <c r="L1593" s="5" t="str">
        <f>HYPERLINK("https://maps.google.com/?q=16.79010659,-96.89850131", "🔗 Ver Mapa")</f>
        <v>🔗 Ver Mapa</v>
      </c>
    </row>
    <row r="1594" spans="1:12" ht="43.5" x14ac:dyDescent="0.35">
      <c r="A1594" s="6" t="s">
        <v>206</v>
      </c>
      <c r="B1594" s="6" t="s">
        <v>207</v>
      </c>
      <c r="C1594" s="6" t="s">
        <v>252</v>
      </c>
      <c r="D1594" s="6" t="s">
        <v>34</v>
      </c>
      <c r="E1594" s="6" t="s">
        <v>37</v>
      </c>
      <c r="F1594" s="6" t="s">
        <v>253</v>
      </c>
      <c r="G1594" s="6" t="s">
        <v>254</v>
      </c>
      <c r="H1594" s="6" t="s">
        <v>255</v>
      </c>
      <c r="I1594" s="6" t="s">
        <v>213</v>
      </c>
      <c r="J1594" s="6">
        <v>16.790132199999999</v>
      </c>
      <c r="K1594" s="6">
        <v>-96.898747720000003</v>
      </c>
      <c r="L1594" s="6" t="str">
        <f>HYPERLINK("https://maps.google.com/?q=16.7901322,-96.898747720000003", "🔗 Ver Mapa")</f>
        <v>🔗 Ver Mapa</v>
      </c>
    </row>
    <row r="1595" spans="1:12" ht="43.5" x14ac:dyDescent="0.35">
      <c r="A1595" s="5" t="s">
        <v>206</v>
      </c>
      <c r="B1595" s="5" t="s">
        <v>207</v>
      </c>
      <c r="C1595" s="5" t="s">
        <v>252</v>
      </c>
      <c r="D1595" s="5" t="s">
        <v>34</v>
      </c>
      <c r="E1595" s="5" t="s">
        <v>37</v>
      </c>
      <c r="F1595" s="5" t="s">
        <v>253</v>
      </c>
      <c r="G1595" s="5" t="s">
        <v>254</v>
      </c>
      <c r="H1595" s="5" t="s">
        <v>255</v>
      </c>
      <c r="I1595" s="5" t="s">
        <v>213</v>
      </c>
      <c r="J1595" s="5">
        <v>16.790151380000001</v>
      </c>
      <c r="K1595" s="5">
        <v>-96.904215359999995</v>
      </c>
      <c r="L1595" s="5" t="str">
        <f>HYPERLINK("https://maps.google.com/?q=16.79015138,-96.904215359999995", "🔗 Ver Mapa")</f>
        <v>🔗 Ver Mapa</v>
      </c>
    </row>
    <row r="1596" spans="1:12" ht="43.5" x14ac:dyDescent="0.35">
      <c r="A1596" s="6" t="s">
        <v>206</v>
      </c>
      <c r="B1596" s="6" t="s">
        <v>207</v>
      </c>
      <c r="C1596" s="6" t="s">
        <v>252</v>
      </c>
      <c r="D1596" s="6" t="s">
        <v>34</v>
      </c>
      <c r="E1596" s="6" t="s">
        <v>37</v>
      </c>
      <c r="F1596" s="6" t="s">
        <v>253</v>
      </c>
      <c r="G1596" s="6" t="s">
        <v>254</v>
      </c>
      <c r="H1596" s="6" t="s">
        <v>255</v>
      </c>
      <c r="I1596" s="6" t="s">
        <v>213</v>
      </c>
      <c r="J1596" s="6">
        <v>16.79015927</v>
      </c>
      <c r="K1596" s="6">
        <v>-96.899182269999997</v>
      </c>
      <c r="L1596" s="6" t="str">
        <f>HYPERLINK("https://maps.google.com/?q=16.79015927,-96.899182269999997", "🔗 Ver Mapa")</f>
        <v>🔗 Ver Mapa</v>
      </c>
    </row>
    <row r="1597" spans="1:12" ht="43.5" x14ac:dyDescent="0.35">
      <c r="A1597" s="5" t="s">
        <v>206</v>
      </c>
      <c r="B1597" s="5" t="s">
        <v>207</v>
      </c>
      <c r="C1597" s="5" t="s">
        <v>252</v>
      </c>
      <c r="D1597" s="5" t="s">
        <v>34</v>
      </c>
      <c r="E1597" s="5" t="s">
        <v>37</v>
      </c>
      <c r="F1597" s="5" t="s">
        <v>253</v>
      </c>
      <c r="G1597" s="5" t="s">
        <v>254</v>
      </c>
      <c r="H1597" s="5" t="s">
        <v>255</v>
      </c>
      <c r="I1597" s="5" t="s">
        <v>213</v>
      </c>
      <c r="J1597" s="5">
        <v>16.790163369999998</v>
      </c>
      <c r="K1597" s="5">
        <v>-96.902514640000007</v>
      </c>
      <c r="L1597" s="5" t="str">
        <f>HYPERLINK("https://maps.google.com/?q=16.79016337,-96.902514640000007", "🔗 Ver Mapa")</f>
        <v>🔗 Ver Mapa</v>
      </c>
    </row>
    <row r="1598" spans="1:12" ht="43.5" x14ac:dyDescent="0.35">
      <c r="A1598" s="6" t="s">
        <v>206</v>
      </c>
      <c r="B1598" s="6" t="s">
        <v>207</v>
      </c>
      <c r="C1598" s="6" t="s">
        <v>252</v>
      </c>
      <c r="D1598" s="6" t="s">
        <v>34</v>
      </c>
      <c r="E1598" s="6" t="s">
        <v>37</v>
      </c>
      <c r="F1598" s="6" t="s">
        <v>253</v>
      </c>
      <c r="G1598" s="6" t="s">
        <v>254</v>
      </c>
      <c r="H1598" s="6" t="s">
        <v>255</v>
      </c>
      <c r="I1598" s="6" t="s">
        <v>213</v>
      </c>
      <c r="J1598" s="6">
        <v>16.790187379999999</v>
      </c>
      <c r="K1598" s="6">
        <v>-96.895669650000002</v>
      </c>
      <c r="L1598" s="6" t="str">
        <f>HYPERLINK("https://maps.google.com/?q=16.79018738,-96.895669650000002", "🔗 Ver Mapa")</f>
        <v>🔗 Ver Mapa</v>
      </c>
    </row>
    <row r="1599" spans="1:12" ht="43.5" x14ac:dyDescent="0.35">
      <c r="A1599" s="5" t="s">
        <v>206</v>
      </c>
      <c r="B1599" s="5" t="s">
        <v>207</v>
      </c>
      <c r="C1599" s="5" t="s">
        <v>252</v>
      </c>
      <c r="D1599" s="5" t="s">
        <v>34</v>
      </c>
      <c r="E1599" s="5" t="s">
        <v>37</v>
      </c>
      <c r="F1599" s="5" t="s">
        <v>253</v>
      </c>
      <c r="G1599" s="5" t="s">
        <v>254</v>
      </c>
      <c r="H1599" s="5" t="s">
        <v>255</v>
      </c>
      <c r="I1599" s="5" t="s">
        <v>213</v>
      </c>
      <c r="J1599" s="5">
        <v>16.790197970000001</v>
      </c>
      <c r="K1599" s="5">
        <v>-96.903891680000001</v>
      </c>
      <c r="L1599" s="5" t="str">
        <f>HYPERLINK("https://maps.google.com/?q=16.79019797,-96.903891680000001", "🔗 Ver Mapa")</f>
        <v>🔗 Ver Mapa</v>
      </c>
    </row>
    <row r="1600" spans="1:12" ht="43.5" x14ac:dyDescent="0.35">
      <c r="A1600" s="6" t="s">
        <v>206</v>
      </c>
      <c r="B1600" s="6" t="s">
        <v>207</v>
      </c>
      <c r="C1600" s="6" t="s">
        <v>252</v>
      </c>
      <c r="D1600" s="6" t="s">
        <v>34</v>
      </c>
      <c r="E1600" s="6" t="s">
        <v>37</v>
      </c>
      <c r="F1600" s="6" t="s">
        <v>253</v>
      </c>
      <c r="G1600" s="6" t="s">
        <v>254</v>
      </c>
      <c r="H1600" s="6" t="s">
        <v>255</v>
      </c>
      <c r="I1600" s="6" t="s">
        <v>213</v>
      </c>
      <c r="J1600" s="6">
        <v>16.790216189999999</v>
      </c>
      <c r="K1600" s="6">
        <v>-96.898889929999996</v>
      </c>
      <c r="L1600" s="6" t="str">
        <f>HYPERLINK("https://maps.google.com/?q=16.79021619,-96.898889929999996", "🔗 Ver Mapa")</f>
        <v>🔗 Ver Mapa</v>
      </c>
    </row>
    <row r="1601" spans="1:12" ht="43.5" x14ac:dyDescent="0.35">
      <c r="A1601" s="5" t="s">
        <v>206</v>
      </c>
      <c r="B1601" s="5" t="s">
        <v>207</v>
      </c>
      <c r="C1601" s="5" t="s">
        <v>252</v>
      </c>
      <c r="D1601" s="5" t="s">
        <v>34</v>
      </c>
      <c r="E1601" s="5" t="s">
        <v>37</v>
      </c>
      <c r="F1601" s="5" t="s">
        <v>253</v>
      </c>
      <c r="G1601" s="5" t="s">
        <v>254</v>
      </c>
      <c r="H1601" s="5" t="s">
        <v>255</v>
      </c>
      <c r="I1601" s="5" t="s">
        <v>213</v>
      </c>
      <c r="J1601" s="5">
        <v>16.790242729999999</v>
      </c>
      <c r="K1601" s="5">
        <v>-96.899093460000003</v>
      </c>
      <c r="L1601" s="5" t="str">
        <f>HYPERLINK("https://maps.google.com/?q=16.79024273,-96.899093460000003", "🔗 Ver Mapa")</f>
        <v>🔗 Ver Mapa</v>
      </c>
    </row>
    <row r="1602" spans="1:12" ht="43.5" x14ac:dyDescent="0.35">
      <c r="A1602" s="6" t="s">
        <v>206</v>
      </c>
      <c r="B1602" s="6" t="s">
        <v>207</v>
      </c>
      <c r="C1602" s="6" t="s">
        <v>252</v>
      </c>
      <c r="D1602" s="6" t="s">
        <v>34</v>
      </c>
      <c r="E1602" s="6" t="s">
        <v>37</v>
      </c>
      <c r="F1602" s="6" t="s">
        <v>253</v>
      </c>
      <c r="G1602" s="6" t="s">
        <v>254</v>
      </c>
      <c r="H1602" s="6" t="s">
        <v>255</v>
      </c>
      <c r="I1602" s="6" t="s">
        <v>213</v>
      </c>
      <c r="J1602" s="6">
        <v>16.79028593</v>
      </c>
      <c r="K1602" s="6">
        <v>-96.895964809999995</v>
      </c>
      <c r="L1602" s="6" t="str">
        <f>HYPERLINK("https://maps.google.com/?q=16.79028593,-96.895964809999995", "🔗 Ver Mapa")</f>
        <v>🔗 Ver Mapa</v>
      </c>
    </row>
    <row r="1603" spans="1:12" ht="43.5" x14ac:dyDescent="0.35">
      <c r="A1603" s="5" t="s">
        <v>206</v>
      </c>
      <c r="B1603" s="5" t="s">
        <v>207</v>
      </c>
      <c r="C1603" s="5" t="s">
        <v>252</v>
      </c>
      <c r="D1603" s="5" t="s">
        <v>34</v>
      </c>
      <c r="E1603" s="5" t="s">
        <v>37</v>
      </c>
      <c r="F1603" s="5" t="s">
        <v>253</v>
      </c>
      <c r="G1603" s="5" t="s">
        <v>254</v>
      </c>
      <c r="H1603" s="5" t="s">
        <v>255</v>
      </c>
      <c r="I1603" s="5" t="s">
        <v>213</v>
      </c>
      <c r="J1603" s="5">
        <v>16.790287809999999</v>
      </c>
      <c r="K1603" s="5">
        <v>-96.905373319999995</v>
      </c>
      <c r="L1603" s="5" t="str">
        <f>HYPERLINK("https://maps.google.com/?q=16.79028781,-96.905373319999995", "🔗 Ver Mapa")</f>
        <v>🔗 Ver Mapa</v>
      </c>
    </row>
    <row r="1604" spans="1:12" ht="43.5" x14ac:dyDescent="0.35">
      <c r="A1604" s="6" t="s">
        <v>206</v>
      </c>
      <c r="B1604" s="6" t="s">
        <v>207</v>
      </c>
      <c r="C1604" s="6" t="s">
        <v>252</v>
      </c>
      <c r="D1604" s="6" t="s">
        <v>34</v>
      </c>
      <c r="E1604" s="6" t="s">
        <v>37</v>
      </c>
      <c r="F1604" s="6" t="s">
        <v>253</v>
      </c>
      <c r="G1604" s="6" t="s">
        <v>254</v>
      </c>
      <c r="H1604" s="6" t="s">
        <v>255</v>
      </c>
      <c r="I1604" s="6" t="s">
        <v>213</v>
      </c>
      <c r="J1604" s="6">
        <v>16.790334380000001</v>
      </c>
      <c r="K1604" s="6">
        <v>-96.904459360000004</v>
      </c>
      <c r="L1604" s="6" t="str">
        <f>HYPERLINK("https://maps.google.com/?q=16.79033438,-96.904459360000004", "🔗 Ver Mapa")</f>
        <v>🔗 Ver Mapa</v>
      </c>
    </row>
    <row r="1605" spans="1:12" ht="43.5" x14ac:dyDescent="0.35">
      <c r="A1605" s="5" t="s">
        <v>206</v>
      </c>
      <c r="B1605" s="5" t="s">
        <v>207</v>
      </c>
      <c r="C1605" s="5" t="s">
        <v>252</v>
      </c>
      <c r="D1605" s="5" t="s">
        <v>34</v>
      </c>
      <c r="E1605" s="5" t="s">
        <v>37</v>
      </c>
      <c r="F1605" s="5" t="s">
        <v>253</v>
      </c>
      <c r="G1605" s="5" t="s">
        <v>254</v>
      </c>
      <c r="H1605" s="5" t="s">
        <v>255</v>
      </c>
      <c r="I1605" s="5" t="s">
        <v>213</v>
      </c>
      <c r="J1605" s="5">
        <v>16.790365210000001</v>
      </c>
      <c r="K1605" s="5">
        <v>-96.902424229999994</v>
      </c>
      <c r="L1605" s="5" t="str">
        <f>HYPERLINK("https://maps.google.com/?q=16.79036521,-96.902424229999994", "🔗 Ver Mapa")</f>
        <v>🔗 Ver Mapa</v>
      </c>
    </row>
    <row r="1606" spans="1:12" ht="43.5" x14ac:dyDescent="0.35">
      <c r="A1606" s="6" t="s">
        <v>206</v>
      </c>
      <c r="B1606" s="6" t="s">
        <v>207</v>
      </c>
      <c r="C1606" s="6" t="s">
        <v>252</v>
      </c>
      <c r="D1606" s="6" t="s">
        <v>34</v>
      </c>
      <c r="E1606" s="6" t="s">
        <v>37</v>
      </c>
      <c r="F1606" s="6" t="s">
        <v>253</v>
      </c>
      <c r="G1606" s="6" t="s">
        <v>254</v>
      </c>
      <c r="H1606" s="6" t="s">
        <v>255</v>
      </c>
      <c r="I1606" s="6" t="s">
        <v>213</v>
      </c>
      <c r="J1606" s="6">
        <v>16.790368310000002</v>
      </c>
      <c r="K1606" s="6">
        <v>-96.90510055</v>
      </c>
      <c r="L1606" s="6" t="str">
        <f>HYPERLINK("https://maps.google.com/?q=16.79036831,-96.90510055", "🔗 Ver Mapa")</f>
        <v>🔗 Ver Mapa</v>
      </c>
    </row>
    <row r="1607" spans="1:12" ht="43.5" x14ac:dyDescent="0.35">
      <c r="A1607" s="5" t="s">
        <v>206</v>
      </c>
      <c r="B1607" s="5" t="s">
        <v>207</v>
      </c>
      <c r="C1607" s="5" t="s">
        <v>252</v>
      </c>
      <c r="D1607" s="5" t="s">
        <v>34</v>
      </c>
      <c r="E1607" s="5" t="s">
        <v>37</v>
      </c>
      <c r="F1607" s="5" t="s">
        <v>253</v>
      </c>
      <c r="G1607" s="5" t="s">
        <v>254</v>
      </c>
      <c r="H1607" s="5" t="s">
        <v>255</v>
      </c>
      <c r="I1607" s="5" t="s">
        <v>213</v>
      </c>
      <c r="J1607" s="5">
        <v>16.790474490000001</v>
      </c>
      <c r="K1607" s="5">
        <v>-96.904548079999998</v>
      </c>
      <c r="L1607" s="5" t="str">
        <f>HYPERLINK("https://maps.google.com/?q=16.79047449,-96.904548079999998", "🔗 Ver Mapa")</f>
        <v>🔗 Ver Mapa</v>
      </c>
    </row>
    <row r="1608" spans="1:12" ht="43.5" x14ac:dyDescent="0.35">
      <c r="A1608" s="6" t="s">
        <v>206</v>
      </c>
      <c r="B1608" s="6" t="s">
        <v>207</v>
      </c>
      <c r="C1608" s="6" t="s">
        <v>252</v>
      </c>
      <c r="D1608" s="6" t="s">
        <v>34</v>
      </c>
      <c r="E1608" s="6" t="s">
        <v>37</v>
      </c>
      <c r="F1608" s="6" t="s">
        <v>253</v>
      </c>
      <c r="G1608" s="6" t="s">
        <v>254</v>
      </c>
      <c r="H1608" s="6" t="s">
        <v>255</v>
      </c>
      <c r="I1608" s="6" t="s">
        <v>213</v>
      </c>
      <c r="J1608" s="6">
        <v>16.790476739999999</v>
      </c>
      <c r="K1608" s="6">
        <v>-96.902386379999996</v>
      </c>
      <c r="L1608" s="6" t="str">
        <f>HYPERLINK("https://maps.google.com/?q=16.79047674,-96.902386379999996", "🔗 Ver Mapa")</f>
        <v>🔗 Ver Mapa</v>
      </c>
    </row>
    <row r="1609" spans="1:12" ht="43.5" x14ac:dyDescent="0.35">
      <c r="A1609" s="5" t="s">
        <v>206</v>
      </c>
      <c r="B1609" s="5" t="s">
        <v>207</v>
      </c>
      <c r="C1609" s="5" t="s">
        <v>252</v>
      </c>
      <c r="D1609" s="5" t="s">
        <v>34</v>
      </c>
      <c r="E1609" s="5" t="s">
        <v>37</v>
      </c>
      <c r="F1609" s="5" t="s">
        <v>253</v>
      </c>
      <c r="G1609" s="5" t="s">
        <v>254</v>
      </c>
      <c r="H1609" s="5" t="s">
        <v>255</v>
      </c>
      <c r="I1609" s="5" t="s">
        <v>213</v>
      </c>
      <c r="J1609" s="5">
        <v>16.790496600000001</v>
      </c>
      <c r="K1609" s="5">
        <v>-96.90480633</v>
      </c>
      <c r="L1609" s="5" t="str">
        <f>HYPERLINK("https://maps.google.com/?q=16.7904966,-96.90480633", "🔗 Ver Mapa")</f>
        <v>🔗 Ver Mapa</v>
      </c>
    </row>
    <row r="1610" spans="1:12" ht="72.5" x14ac:dyDescent="0.35">
      <c r="A1610" s="6" t="s">
        <v>154</v>
      </c>
      <c r="B1610" s="6" t="s">
        <v>155</v>
      </c>
      <c r="C1610" s="6" t="s">
        <v>256</v>
      </c>
      <c r="D1610" s="6" t="s">
        <v>157</v>
      </c>
      <c r="E1610" s="6" t="s">
        <v>39</v>
      </c>
      <c r="F1610" s="6" t="s">
        <v>162</v>
      </c>
      <c r="G1610" s="6" t="s">
        <v>257</v>
      </c>
      <c r="H1610" s="6" t="s">
        <v>258</v>
      </c>
      <c r="I1610" s="6" t="s">
        <v>63</v>
      </c>
      <c r="J1610" s="6">
        <v>16.369862000000001</v>
      </c>
      <c r="K1610" s="6">
        <v>-94.962321000000003</v>
      </c>
      <c r="L1610" s="6" t="str">
        <f>HYPERLINK("https://maps.google.com/?q=16.369862,-94.962321", "🔗 Ver Mapa")</f>
        <v>🔗 Ver Mapa</v>
      </c>
    </row>
    <row r="1611" spans="1:12" ht="72.5" x14ac:dyDescent="0.35">
      <c r="A1611" s="5" t="s">
        <v>154</v>
      </c>
      <c r="B1611" s="5" t="s">
        <v>155</v>
      </c>
      <c r="C1611" s="5" t="s">
        <v>256</v>
      </c>
      <c r="D1611" s="5" t="s">
        <v>157</v>
      </c>
      <c r="E1611" s="5" t="s">
        <v>39</v>
      </c>
      <c r="F1611" s="5" t="s">
        <v>162</v>
      </c>
      <c r="G1611" s="5" t="s">
        <v>257</v>
      </c>
      <c r="H1611" s="5" t="s">
        <v>258</v>
      </c>
      <c r="I1611" s="5" t="s">
        <v>63</v>
      </c>
      <c r="J1611" s="5">
        <v>16.387989999999999</v>
      </c>
      <c r="K1611" s="5">
        <v>-94.976979</v>
      </c>
      <c r="L1611" s="5" t="str">
        <f>HYPERLINK("https://maps.google.com/?q=16.38799,-94.976979", "🔗 Ver Mapa")</f>
        <v>🔗 Ver Mapa</v>
      </c>
    </row>
    <row r="1612" spans="1:12" ht="72.5" x14ac:dyDescent="0.35">
      <c r="A1612" s="6" t="s">
        <v>154</v>
      </c>
      <c r="B1612" s="6" t="s">
        <v>155</v>
      </c>
      <c r="C1612" s="6" t="s">
        <v>256</v>
      </c>
      <c r="D1612" s="6" t="s">
        <v>157</v>
      </c>
      <c r="E1612" s="6" t="s">
        <v>39</v>
      </c>
      <c r="F1612" s="6" t="s">
        <v>162</v>
      </c>
      <c r="G1612" s="6" t="s">
        <v>257</v>
      </c>
      <c r="H1612" s="6" t="s">
        <v>258</v>
      </c>
      <c r="I1612" s="6" t="s">
        <v>63</v>
      </c>
      <c r="J1612" s="6">
        <v>16.399635</v>
      </c>
      <c r="K1612" s="6">
        <v>-94.998115999999996</v>
      </c>
      <c r="L1612" s="6" t="str">
        <f>HYPERLINK("https://maps.google.com/?q=16.399635,-94.998116", "🔗 Ver Mapa")</f>
        <v>🔗 Ver Mapa</v>
      </c>
    </row>
    <row r="1613" spans="1:12" ht="43.5" x14ac:dyDescent="0.35">
      <c r="A1613" s="5" t="s">
        <v>206</v>
      </c>
      <c r="B1613" s="5" t="s">
        <v>207</v>
      </c>
      <c r="C1613" s="5" t="s">
        <v>259</v>
      </c>
      <c r="D1613" s="5" t="s">
        <v>251</v>
      </c>
      <c r="E1613" s="5" t="s">
        <v>37</v>
      </c>
      <c r="F1613" s="5" t="s">
        <v>41</v>
      </c>
      <c r="G1613" s="5" t="s">
        <v>48</v>
      </c>
      <c r="H1613" s="5" t="s">
        <v>55</v>
      </c>
      <c r="I1613" s="5" t="s">
        <v>213</v>
      </c>
      <c r="J1613" s="5">
        <v>17.101298294926998</v>
      </c>
      <c r="K1613" s="5">
        <v>-96.712830249806998</v>
      </c>
      <c r="L1613" s="5" t="str">
        <f>HYPERLINK("https://maps.google.com/?q=17.101298294926565,-96.712830249807368", "🔗 Ver Mapa")</f>
        <v>🔗 Ver Mapa</v>
      </c>
    </row>
    <row r="1614" spans="1:12" ht="43.5" x14ac:dyDescent="0.35">
      <c r="A1614" s="6" t="s">
        <v>206</v>
      </c>
      <c r="B1614" s="6" t="s">
        <v>207</v>
      </c>
      <c r="C1614" s="6" t="s">
        <v>259</v>
      </c>
      <c r="D1614" s="6" t="s">
        <v>251</v>
      </c>
      <c r="E1614" s="6" t="s">
        <v>37</v>
      </c>
      <c r="F1614" s="6" t="s">
        <v>41</v>
      </c>
      <c r="G1614" s="6" t="s">
        <v>48</v>
      </c>
      <c r="H1614" s="6" t="s">
        <v>55</v>
      </c>
      <c r="I1614" s="6" t="s">
        <v>213</v>
      </c>
      <c r="J1614" s="6">
        <v>17.101850186463</v>
      </c>
      <c r="K1614" s="6">
        <v>-96.712665604093999</v>
      </c>
      <c r="L1614" s="6" t="str">
        <f>HYPERLINK("https://maps.google.com/?q=17.101850186462514,-96.712665604093544", "🔗 Ver Mapa")</f>
        <v>🔗 Ver Mapa</v>
      </c>
    </row>
    <row r="1615" spans="1:12" ht="43.5" x14ac:dyDescent="0.35">
      <c r="A1615" s="5" t="s">
        <v>206</v>
      </c>
      <c r="B1615" s="5" t="s">
        <v>207</v>
      </c>
      <c r="C1615" s="5" t="s">
        <v>259</v>
      </c>
      <c r="D1615" s="5" t="s">
        <v>251</v>
      </c>
      <c r="E1615" s="5" t="s">
        <v>37</v>
      </c>
      <c r="F1615" s="5" t="s">
        <v>41</v>
      </c>
      <c r="G1615" s="5" t="s">
        <v>48</v>
      </c>
      <c r="H1615" s="5" t="s">
        <v>55</v>
      </c>
      <c r="I1615" s="5" t="s">
        <v>213</v>
      </c>
      <c r="J1615" s="5">
        <v>17.102072957312998</v>
      </c>
      <c r="K1615" s="5">
        <v>-96.712586137810007</v>
      </c>
      <c r="L1615" s="5" t="str">
        <f>HYPERLINK("https://maps.google.com/?q=17.102072957313418,-96.712586137810121", "🔗 Ver Mapa")</f>
        <v>🔗 Ver Mapa</v>
      </c>
    </row>
    <row r="1616" spans="1:12" ht="43.5" x14ac:dyDescent="0.35">
      <c r="A1616" s="6" t="s">
        <v>206</v>
      </c>
      <c r="B1616" s="6" t="s">
        <v>207</v>
      </c>
      <c r="C1616" s="6" t="s">
        <v>259</v>
      </c>
      <c r="D1616" s="6" t="s">
        <v>251</v>
      </c>
      <c r="E1616" s="6" t="s">
        <v>37</v>
      </c>
      <c r="F1616" s="6" t="s">
        <v>41</v>
      </c>
      <c r="G1616" s="6" t="s">
        <v>48</v>
      </c>
      <c r="H1616" s="6" t="s">
        <v>55</v>
      </c>
      <c r="I1616" s="6" t="s">
        <v>213</v>
      </c>
      <c r="J1616" s="6">
        <v>17.102231008238999</v>
      </c>
      <c r="K1616" s="6">
        <v>-96.712527094416998</v>
      </c>
      <c r="L1616" s="6" t="str">
        <f>HYPERLINK("https://maps.google.com/?q=17.102231008238675,-96.712527094417325", "🔗 Ver Mapa")</f>
        <v>🔗 Ver Mapa</v>
      </c>
    </row>
    <row r="1617" spans="1:12" ht="43.5" x14ac:dyDescent="0.35">
      <c r="A1617" s="5" t="s">
        <v>206</v>
      </c>
      <c r="B1617" s="5" t="s">
        <v>207</v>
      </c>
      <c r="C1617" s="5" t="s">
        <v>259</v>
      </c>
      <c r="D1617" s="5" t="s">
        <v>251</v>
      </c>
      <c r="E1617" s="5" t="s">
        <v>37</v>
      </c>
      <c r="F1617" s="5" t="s">
        <v>41</v>
      </c>
      <c r="G1617" s="5" t="s">
        <v>48</v>
      </c>
      <c r="H1617" s="5" t="s">
        <v>55</v>
      </c>
      <c r="I1617" s="5" t="s">
        <v>213</v>
      </c>
      <c r="J1617" s="5">
        <v>17.102908905511999</v>
      </c>
      <c r="K1617" s="5">
        <v>-96.712329532705994</v>
      </c>
      <c r="L1617" s="5" t="str">
        <f>HYPERLINK("https://maps.google.com/?q=17.10290890551197,-96.712329532705539", "🔗 Ver Mapa")</f>
        <v>🔗 Ver Mapa</v>
      </c>
    </row>
    <row r="1618" spans="1:12" ht="43.5" x14ac:dyDescent="0.35">
      <c r="A1618" s="6" t="s">
        <v>8</v>
      </c>
      <c r="B1618" s="6" t="s">
        <v>16</v>
      </c>
      <c r="C1618" s="6" t="s">
        <v>260</v>
      </c>
      <c r="D1618" s="6" t="s">
        <v>35</v>
      </c>
      <c r="E1618" s="6" t="s">
        <v>128</v>
      </c>
      <c r="F1618" s="6" t="s">
        <v>166</v>
      </c>
      <c r="G1618" s="6" t="s">
        <v>261</v>
      </c>
      <c r="H1618" s="6" t="s">
        <v>262</v>
      </c>
      <c r="I1618" s="6" t="s">
        <v>63</v>
      </c>
      <c r="J1618" s="6">
        <v>17.303715555882999</v>
      </c>
      <c r="K1618" s="6">
        <v>-97.934805882912002</v>
      </c>
      <c r="L1618" s="6" t="str">
        <f>HYPERLINK("https://maps.google.com/?q=17.3037155558825,-97.934805882911903", "🔗 Ver Mapa")</f>
        <v>🔗 Ver Mapa</v>
      </c>
    </row>
    <row r="1619" spans="1:12" ht="43.5" x14ac:dyDescent="0.35">
      <c r="A1619" s="5" t="s">
        <v>8</v>
      </c>
      <c r="B1619" s="5" t="s">
        <v>16</v>
      </c>
      <c r="C1619" s="5" t="s">
        <v>260</v>
      </c>
      <c r="D1619" s="5" t="s">
        <v>35</v>
      </c>
      <c r="E1619" s="5" t="s">
        <v>128</v>
      </c>
      <c r="F1619" s="5" t="s">
        <v>166</v>
      </c>
      <c r="G1619" s="5" t="s">
        <v>261</v>
      </c>
      <c r="H1619" s="5" t="s">
        <v>262</v>
      </c>
      <c r="I1619" s="5" t="s">
        <v>63</v>
      </c>
      <c r="J1619" s="5">
        <v>17.303809690143002</v>
      </c>
      <c r="K1619" s="5">
        <v>-97.935356892837007</v>
      </c>
      <c r="L1619" s="5" t="str">
        <f>HYPERLINK("https://maps.google.com/?q=17.3038096901433,-97.935356892837305", "🔗 Ver Mapa")</f>
        <v>🔗 Ver Mapa</v>
      </c>
    </row>
    <row r="1620" spans="1:12" ht="43.5" x14ac:dyDescent="0.35">
      <c r="A1620" s="6" t="s">
        <v>8</v>
      </c>
      <c r="B1620" s="6" t="s">
        <v>16</v>
      </c>
      <c r="C1620" s="6" t="s">
        <v>260</v>
      </c>
      <c r="D1620" s="6" t="s">
        <v>35</v>
      </c>
      <c r="E1620" s="6" t="s">
        <v>128</v>
      </c>
      <c r="F1620" s="6" t="s">
        <v>166</v>
      </c>
      <c r="G1620" s="6" t="s">
        <v>261</v>
      </c>
      <c r="H1620" s="6" t="s">
        <v>262</v>
      </c>
      <c r="I1620" s="6" t="s">
        <v>63</v>
      </c>
      <c r="J1620" s="6">
        <v>17.304205157502999</v>
      </c>
      <c r="K1620" s="6">
        <v>-97.935051924429004</v>
      </c>
      <c r="L1620" s="6" t="str">
        <f>HYPERLINK("https://maps.google.com/?q=17.3042051575035,-97.935051924429303", "🔗 Ver Mapa")</f>
        <v>🔗 Ver Mapa</v>
      </c>
    </row>
    <row r="1621" spans="1:12" ht="43.5" x14ac:dyDescent="0.35">
      <c r="A1621" s="5" t="s">
        <v>8</v>
      </c>
      <c r="B1621" s="5" t="s">
        <v>16</v>
      </c>
      <c r="C1621" s="5" t="s">
        <v>263</v>
      </c>
      <c r="D1621" s="5" t="s">
        <v>35</v>
      </c>
      <c r="E1621" s="5" t="s">
        <v>128</v>
      </c>
      <c r="F1621" s="5" t="s">
        <v>166</v>
      </c>
      <c r="G1621" s="5" t="s">
        <v>261</v>
      </c>
      <c r="H1621" s="5" t="s">
        <v>264</v>
      </c>
      <c r="I1621" s="5" t="s">
        <v>63</v>
      </c>
      <c r="J1621" s="5">
        <v>17.248691000000001</v>
      </c>
      <c r="K1621" s="5">
        <v>-97.814063000000004</v>
      </c>
      <c r="L1621" s="5" t="str">
        <f>HYPERLINK("https://maps.google.com/?q=17.248691,-97.814063", "🔗 Ver Mapa")</f>
        <v>🔗 Ver Mapa</v>
      </c>
    </row>
    <row r="1622" spans="1:12" ht="43.5" x14ac:dyDescent="0.35">
      <c r="A1622" s="6" t="s">
        <v>8</v>
      </c>
      <c r="B1622" s="6" t="s">
        <v>16</v>
      </c>
      <c r="C1622" s="6" t="s">
        <v>263</v>
      </c>
      <c r="D1622" s="6" t="s">
        <v>35</v>
      </c>
      <c r="E1622" s="6" t="s">
        <v>128</v>
      </c>
      <c r="F1622" s="6" t="s">
        <v>166</v>
      </c>
      <c r="G1622" s="6" t="s">
        <v>261</v>
      </c>
      <c r="H1622" s="6" t="s">
        <v>264</v>
      </c>
      <c r="I1622" s="6" t="s">
        <v>63</v>
      </c>
      <c r="J1622" s="6">
        <v>17.250083</v>
      </c>
      <c r="K1622" s="6">
        <v>-97.814941000000005</v>
      </c>
      <c r="L1622" s="6" t="str">
        <f>HYPERLINK("https://maps.google.com/?q=17.250083,-97.814941", "🔗 Ver Mapa")</f>
        <v>🔗 Ver Mapa</v>
      </c>
    </row>
    <row r="1623" spans="1:12" ht="43.5" x14ac:dyDescent="0.35">
      <c r="A1623" s="5" t="s">
        <v>8</v>
      </c>
      <c r="B1623" s="5" t="s">
        <v>16</v>
      </c>
      <c r="C1623" s="5" t="s">
        <v>263</v>
      </c>
      <c r="D1623" s="5" t="s">
        <v>35</v>
      </c>
      <c r="E1623" s="5" t="s">
        <v>128</v>
      </c>
      <c r="F1623" s="5" t="s">
        <v>166</v>
      </c>
      <c r="G1623" s="5" t="s">
        <v>261</v>
      </c>
      <c r="H1623" s="5" t="s">
        <v>264</v>
      </c>
      <c r="I1623" s="5" t="s">
        <v>63</v>
      </c>
      <c r="J1623" s="5">
        <v>17.251387999999999</v>
      </c>
      <c r="K1623" s="5">
        <v>-97.811126000000002</v>
      </c>
      <c r="L1623" s="5" t="str">
        <f>HYPERLINK("https://maps.google.com/?q=17.251388,-97.811126", "🔗 Ver Mapa")</f>
        <v>🔗 Ver Mapa</v>
      </c>
    </row>
    <row r="1624" spans="1:12" ht="43.5" x14ac:dyDescent="0.35">
      <c r="A1624" s="6" t="s">
        <v>8</v>
      </c>
      <c r="B1624" s="6" t="s">
        <v>16</v>
      </c>
      <c r="C1624" s="6" t="s">
        <v>263</v>
      </c>
      <c r="D1624" s="6" t="s">
        <v>35</v>
      </c>
      <c r="E1624" s="6" t="s">
        <v>128</v>
      </c>
      <c r="F1624" s="6" t="s">
        <v>166</v>
      </c>
      <c r="G1624" s="6" t="s">
        <v>261</v>
      </c>
      <c r="H1624" s="6" t="s">
        <v>264</v>
      </c>
      <c r="I1624" s="6" t="s">
        <v>63</v>
      </c>
      <c r="J1624" s="6">
        <v>17.252248999999999</v>
      </c>
      <c r="K1624" s="6">
        <v>-97.807546000000002</v>
      </c>
      <c r="L1624" s="6" t="str">
        <f>HYPERLINK("https://maps.google.com/?q=17.252249,-97.807546", "🔗 Ver Mapa")</f>
        <v>🔗 Ver Mapa</v>
      </c>
    </row>
    <row r="1625" spans="1:12" ht="43.5" x14ac:dyDescent="0.35">
      <c r="A1625" s="5" t="s">
        <v>8</v>
      </c>
      <c r="B1625" s="5" t="s">
        <v>16</v>
      </c>
      <c r="C1625" s="5" t="s">
        <v>263</v>
      </c>
      <c r="D1625" s="5" t="s">
        <v>35</v>
      </c>
      <c r="E1625" s="5" t="s">
        <v>128</v>
      </c>
      <c r="F1625" s="5" t="s">
        <v>166</v>
      </c>
      <c r="G1625" s="5" t="s">
        <v>261</v>
      </c>
      <c r="H1625" s="5" t="s">
        <v>264</v>
      </c>
      <c r="I1625" s="5" t="s">
        <v>63</v>
      </c>
      <c r="J1625" s="5">
        <v>17.254781000000001</v>
      </c>
      <c r="K1625" s="5">
        <v>-97.812213</v>
      </c>
      <c r="L1625" s="5" t="str">
        <f>HYPERLINK("https://maps.google.com/?q=17.254781,-97.812213", "🔗 Ver Mapa")</f>
        <v>🔗 Ver Mapa</v>
      </c>
    </row>
    <row r="1626" spans="1:12" ht="43.5" x14ac:dyDescent="0.35">
      <c r="A1626" s="6" t="s">
        <v>8</v>
      </c>
      <c r="B1626" s="6" t="s">
        <v>16</v>
      </c>
      <c r="C1626" s="6" t="s">
        <v>263</v>
      </c>
      <c r="D1626" s="6" t="s">
        <v>35</v>
      </c>
      <c r="E1626" s="6" t="s">
        <v>128</v>
      </c>
      <c r="F1626" s="6" t="s">
        <v>166</v>
      </c>
      <c r="G1626" s="6" t="s">
        <v>261</v>
      </c>
      <c r="H1626" s="6" t="s">
        <v>264</v>
      </c>
      <c r="I1626" s="6" t="s">
        <v>63</v>
      </c>
      <c r="J1626" s="6">
        <v>17.25656</v>
      </c>
      <c r="K1626" s="6">
        <v>-97.810400000000001</v>
      </c>
      <c r="L1626" s="6" t="str">
        <f>HYPERLINK("https://maps.google.com/?q=17.25656,-97.810400", "🔗 Ver Mapa")</f>
        <v>🔗 Ver Mapa</v>
      </c>
    </row>
    <row r="1627" spans="1:12" ht="43.5" x14ac:dyDescent="0.35">
      <c r="A1627" s="5" t="s">
        <v>8</v>
      </c>
      <c r="B1627" s="5" t="s">
        <v>16</v>
      </c>
      <c r="C1627" s="5" t="s">
        <v>263</v>
      </c>
      <c r="D1627" s="5" t="s">
        <v>35</v>
      </c>
      <c r="E1627" s="5" t="s">
        <v>128</v>
      </c>
      <c r="F1627" s="5" t="s">
        <v>166</v>
      </c>
      <c r="G1627" s="5" t="s">
        <v>261</v>
      </c>
      <c r="H1627" s="5" t="s">
        <v>264</v>
      </c>
      <c r="I1627" s="5" t="s">
        <v>63</v>
      </c>
      <c r="J1627" s="5">
        <v>17.256896999999999</v>
      </c>
      <c r="K1627" s="5">
        <v>-97.807805999999999</v>
      </c>
      <c r="L1627" s="5" t="str">
        <f>HYPERLINK("https://maps.google.com/?q=17.256897,-97.807806", "🔗 Ver Mapa")</f>
        <v>🔗 Ver Mapa</v>
      </c>
    </row>
    <row r="1628" spans="1:12" ht="43.5" x14ac:dyDescent="0.35">
      <c r="A1628" s="6" t="s">
        <v>8</v>
      </c>
      <c r="B1628" s="6" t="s">
        <v>16</v>
      </c>
      <c r="C1628" s="6" t="s">
        <v>263</v>
      </c>
      <c r="D1628" s="6" t="s">
        <v>35</v>
      </c>
      <c r="E1628" s="6" t="s">
        <v>128</v>
      </c>
      <c r="F1628" s="6" t="s">
        <v>166</v>
      </c>
      <c r="G1628" s="6" t="s">
        <v>261</v>
      </c>
      <c r="H1628" s="6" t="s">
        <v>264</v>
      </c>
      <c r="I1628" s="6" t="s">
        <v>63</v>
      </c>
      <c r="J1628" s="6">
        <v>17.257276000000001</v>
      </c>
      <c r="K1628" s="6" t="s">
        <v>265</v>
      </c>
      <c r="L1628" s="6" t="str">
        <f>HYPERLINK("https://maps.google.com/?q=17.257276, -97.809498", "🔗 Ver Mapa")</f>
        <v>🔗 Ver Mapa</v>
      </c>
    </row>
    <row r="1629" spans="1:12" ht="43.5" x14ac:dyDescent="0.35">
      <c r="A1629" s="5" t="s">
        <v>8</v>
      </c>
      <c r="B1629" s="5" t="s">
        <v>16</v>
      </c>
      <c r="C1629" s="5" t="s">
        <v>263</v>
      </c>
      <c r="D1629" s="5" t="s">
        <v>35</v>
      </c>
      <c r="E1629" s="5" t="s">
        <v>128</v>
      </c>
      <c r="F1629" s="5" t="s">
        <v>166</v>
      </c>
      <c r="G1629" s="5" t="s">
        <v>261</v>
      </c>
      <c r="H1629" s="5" t="s">
        <v>264</v>
      </c>
      <c r="I1629" s="5" t="s">
        <v>63</v>
      </c>
      <c r="J1629" s="5">
        <v>17.257507</v>
      </c>
      <c r="K1629" s="5">
        <v>-97.809493000000003</v>
      </c>
      <c r="L1629" s="5" t="str">
        <f>HYPERLINK("https://maps.google.com/?q=17.257507,-97.809493", "🔗 Ver Mapa")</f>
        <v>🔗 Ver Mapa</v>
      </c>
    </row>
    <row r="1630" spans="1:12" ht="43.5" x14ac:dyDescent="0.35">
      <c r="A1630" s="6" t="s">
        <v>8</v>
      </c>
      <c r="B1630" s="6" t="s">
        <v>16</v>
      </c>
      <c r="C1630" s="6" t="s">
        <v>263</v>
      </c>
      <c r="D1630" s="6" t="s">
        <v>35</v>
      </c>
      <c r="E1630" s="6" t="s">
        <v>128</v>
      </c>
      <c r="F1630" s="6" t="s">
        <v>166</v>
      </c>
      <c r="G1630" s="6" t="s">
        <v>261</v>
      </c>
      <c r="H1630" s="6" t="s">
        <v>264</v>
      </c>
      <c r="I1630" s="6" t="s">
        <v>63</v>
      </c>
      <c r="J1630" s="6">
        <v>17.257608000000001</v>
      </c>
      <c r="K1630" s="6">
        <v>-97.806389999999993</v>
      </c>
      <c r="L1630" s="6" t="str">
        <f>HYPERLINK("https://maps.google.com/?q=17.257608,-97.806389999999993", "🔗 Ver Mapa")</f>
        <v>🔗 Ver Mapa</v>
      </c>
    </row>
    <row r="1631" spans="1:12" ht="43.5" x14ac:dyDescent="0.35">
      <c r="A1631" s="5" t="s">
        <v>8</v>
      </c>
      <c r="B1631" s="5" t="s">
        <v>16</v>
      </c>
      <c r="C1631" s="5" t="s">
        <v>263</v>
      </c>
      <c r="D1631" s="5" t="s">
        <v>35</v>
      </c>
      <c r="E1631" s="5" t="s">
        <v>128</v>
      </c>
      <c r="F1631" s="5" t="s">
        <v>166</v>
      </c>
      <c r="G1631" s="5" t="s">
        <v>261</v>
      </c>
      <c r="H1631" s="5" t="s">
        <v>264</v>
      </c>
      <c r="I1631" s="5" t="s">
        <v>63</v>
      </c>
      <c r="J1631" s="5">
        <v>17.257795999999999</v>
      </c>
      <c r="K1631" s="5">
        <v>-97.808528300000006</v>
      </c>
      <c r="L1631" s="5" t="str">
        <f>HYPERLINK("https://maps.google.com/?q=17.257796,-97.808528300000006", "🔗 Ver Mapa")</f>
        <v>🔗 Ver Mapa</v>
      </c>
    </row>
    <row r="1632" spans="1:12" ht="43.5" x14ac:dyDescent="0.35">
      <c r="A1632" s="6" t="s">
        <v>8</v>
      </c>
      <c r="B1632" s="6" t="s">
        <v>16</v>
      </c>
      <c r="C1632" s="6" t="s">
        <v>263</v>
      </c>
      <c r="D1632" s="6" t="s">
        <v>35</v>
      </c>
      <c r="E1632" s="6" t="s">
        <v>128</v>
      </c>
      <c r="F1632" s="6" t="s">
        <v>166</v>
      </c>
      <c r="G1632" s="6" t="s">
        <v>261</v>
      </c>
      <c r="H1632" s="6" t="s">
        <v>264</v>
      </c>
      <c r="I1632" s="6" t="s">
        <v>63</v>
      </c>
      <c r="J1632" s="6">
        <v>17.261519</v>
      </c>
      <c r="K1632" s="6">
        <v>-97.816564999999997</v>
      </c>
      <c r="L1632" s="6" t="str">
        <f>HYPERLINK("https://maps.google.com/?q=17.261519,-97.816565", "🔗 Ver Mapa")</f>
        <v>🔗 Ver Mapa</v>
      </c>
    </row>
    <row r="1633" spans="1:12" ht="43.5" x14ac:dyDescent="0.35">
      <c r="A1633" s="5" t="s">
        <v>8</v>
      </c>
      <c r="B1633" s="5" t="s">
        <v>16</v>
      </c>
      <c r="C1633" s="5" t="s">
        <v>266</v>
      </c>
      <c r="D1633" s="5" t="s">
        <v>35</v>
      </c>
      <c r="E1633" s="5" t="s">
        <v>128</v>
      </c>
      <c r="F1633" s="5" t="s">
        <v>166</v>
      </c>
      <c r="G1633" s="5" t="s">
        <v>261</v>
      </c>
      <c r="H1633" s="5" t="s">
        <v>267</v>
      </c>
      <c r="I1633" s="5" t="s">
        <v>63</v>
      </c>
      <c r="J1633" s="5">
        <v>17.2426657</v>
      </c>
      <c r="K1633" s="5">
        <v>-97.792136859999999</v>
      </c>
      <c r="L1633" s="5" t="str">
        <f>HYPERLINK("https://maps.google.com/?q=17.2426657,-97.792136859999999", "🔗 Ver Mapa")</f>
        <v>🔗 Ver Mapa</v>
      </c>
    </row>
    <row r="1634" spans="1:12" ht="43.5" x14ac:dyDescent="0.35">
      <c r="A1634" s="6" t="s">
        <v>8</v>
      </c>
      <c r="B1634" s="6" t="s">
        <v>16</v>
      </c>
      <c r="C1634" s="6" t="s">
        <v>266</v>
      </c>
      <c r="D1634" s="6" t="s">
        <v>35</v>
      </c>
      <c r="E1634" s="6" t="s">
        <v>128</v>
      </c>
      <c r="F1634" s="6" t="s">
        <v>166</v>
      </c>
      <c r="G1634" s="6" t="s">
        <v>261</v>
      </c>
      <c r="H1634" s="6" t="s">
        <v>267</v>
      </c>
      <c r="I1634" s="6" t="s">
        <v>63</v>
      </c>
      <c r="J1634" s="6">
        <v>17.24270731</v>
      </c>
      <c r="K1634" s="6">
        <v>-97.791849209999995</v>
      </c>
      <c r="L1634" s="6" t="str">
        <f>HYPERLINK("https://maps.google.com/?q=17.24270731,-97.791849209999995", "🔗 Ver Mapa")</f>
        <v>🔗 Ver Mapa</v>
      </c>
    </row>
    <row r="1635" spans="1:12" ht="43.5" x14ac:dyDescent="0.35">
      <c r="A1635" s="5" t="s">
        <v>8</v>
      </c>
      <c r="B1635" s="5" t="s">
        <v>16</v>
      </c>
      <c r="C1635" s="5" t="s">
        <v>266</v>
      </c>
      <c r="D1635" s="5" t="s">
        <v>35</v>
      </c>
      <c r="E1635" s="5" t="s">
        <v>128</v>
      </c>
      <c r="F1635" s="5" t="s">
        <v>166</v>
      </c>
      <c r="G1635" s="5" t="s">
        <v>261</v>
      </c>
      <c r="H1635" s="5" t="s">
        <v>267</v>
      </c>
      <c r="I1635" s="5" t="s">
        <v>63</v>
      </c>
      <c r="J1635" s="5">
        <v>17.244760629999998</v>
      </c>
      <c r="K1635" s="5">
        <v>-97.793341170000005</v>
      </c>
      <c r="L1635" s="5" t="str">
        <f>HYPERLINK("https://maps.google.com/?q=17.24476063,-97.793341170000005", "🔗 Ver Mapa")</f>
        <v>🔗 Ver Mapa</v>
      </c>
    </row>
    <row r="1636" spans="1:12" ht="43.5" x14ac:dyDescent="0.35">
      <c r="A1636" s="6" t="s">
        <v>8</v>
      </c>
      <c r="B1636" s="6" t="s">
        <v>16</v>
      </c>
      <c r="C1636" s="6" t="s">
        <v>266</v>
      </c>
      <c r="D1636" s="6" t="s">
        <v>35</v>
      </c>
      <c r="E1636" s="6" t="s">
        <v>128</v>
      </c>
      <c r="F1636" s="6" t="s">
        <v>166</v>
      </c>
      <c r="G1636" s="6" t="s">
        <v>261</v>
      </c>
      <c r="H1636" s="6" t="s">
        <v>267</v>
      </c>
      <c r="I1636" s="6" t="s">
        <v>63</v>
      </c>
      <c r="J1636" s="6">
        <v>17.245080659999999</v>
      </c>
      <c r="K1636" s="6">
        <v>-97.794320020000001</v>
      </c>
      <c r="L1636" s="6" t="str">
        <f>HYPERLINK("https://maps.google.com/?q=17.24508066,-97.794320020000001", "🔗 Ver Mapa")</f>
        <v>🔗 Ver Mapa</v>
      </c>
    </row>
    <row r="1637" spans="1:12" ht="43.5" x14ac:dyDescent="0.35">
      <c r="A1637" s="5" t="s">
        <v>8</v>
      </c>
      <c r="B1637" s="5" t="s">
        <v>16</v>
      </c>
      <c r="C1637" s="5" t="s">
        <v>266</v>
      </c>
      <c r="D1637" s="5" t="s">
        <v>35</v>
      </c>
      <c r="E1637" s="5" t="s">
        <v>128</v>
      </c>
      <c r="F1637" s="5" t="s">
        <v>166</v>
      </c>
      <c r="G1637" s="5" t="s">
        <v>261</v>
      </c>
      <c r="H1637" s="5" t="s">
        <v>267</v>
      </c>
      <c r="I1637" s="5" t="s">
        <v>63</v>
      </c>
      <c r="J1637" s="5">
        <v>17.24551314</v>
      </c>
      <c r="K1637" s="5">
        <v>-97.792140000000003</v>
      </c>
      <c r="L1637" s="5" t="str">
        <f>HYPERLINK("https://maps.google.com/?q=17.24551314,-97.792140000000003", "🔗 Ver Mapa")</f>
        <v>🔗 Ver Mapa</v>
      </c>
    </row>
    <row r="1638" spans="1:12" ht="43.5" x14ac:dyDescent="0.35">
      <c r="A1638" s="6" t="s">
        <v>8</v>
      </c>
      <c r="B1638" s="6" t="s">
        <v>16</v>
      </c>
      <c r="C1638" s="6" t="s">
        <v>266</v>
      </c>
      <c r="D1638" s="6" t="s">
        <v>35</v>
      </c>
      <c r="E1638" s="6" t="s">
        <v>128</v>
      </c>
      <c r="F1638" s="6" t="s">
        <v>166</v>
      </c>
      <c r="G1638" s="6" t="s">
        <v>261</v>
      </c>
      <c r="H1638" s="6" t="s">
        <v>267</v>
      </c>
      <c r="I1638" s="6" t="s">
        <v>63</v>
      </c>
      <c r="J1638" s="6">
        <v>17.248116849999999</v>
      </c>
      <c r="K1638" s="6">
        <v>-97.799692840000006</v>
      </c>
      <c r="L1638" s="6" t="str">
        <f>HYPERLINK("https://maps.google.com/?q=17.24811685,-97.799692840000006", "🔗 Ver Mapa")</f>
        <v>🔗 Ver Mapa</v>
      </c>
    </row>
    <row r="1639" spans="1:12" ht="43.5" x14ac:dyDescent="0.35">
      <c r="A1639" s="5" t="s">
        <v>8</v>
      </c>
      <c r="B1639" s="5" t="s">
        <v>16</v>
      </c>
      <c r="C1639" s="5" t="s">
        <v>266</v>
      </c>
      <c r="D1639" s="5" t="s">
        <v>35</v>
      </c>
      <c r="E1639" s="5" t="s">
        <v>128</v>
      </c>
      <c r="F1639" s="5" t="s">
        <v>166</v>
      </c>
      <c r="G1639" s="5" t="s">
        <v>261</v>
      </c>
      <c r="H1639" s="5" t="s">
        <v>267</v>
      </c>
      <c r="I1639" s="5" t="s">
        <v>63</v>
      </c>
      <c r="J1639" s="5">
        <v>17.248139900000002</v>
      </c>
      <c r="K1639" s="5">
        <v>-97.799918140000003</v>
      </c>
      <c r="L1639" s="5" t="str">
        <f>HYPERLINK("https://maps.google.com/?q=17.2481399,-97.799918140000003", "🔗 Ver Mapa")</f>
        <v>🔗 Ver Mapa</v>
      </c>
    </row>
    <row r="1640" spans="1:12" ht="43.5" x14ac:dyDescent="0.35">
      <c r="A1640" s="6" t="s">
        <v>8</v>
      </c>
      <c r="B1640" s="6" t="s">
        <v>16</v>
      </c>
      <c r="C1640" s="6" t="s">
        <v>266</v>
      </c>
      <c r="D1640" s="6" t="s">
        <v>35</v>
      </c>
      <c r="E1640" s="6" t="s">
        <v>128</v>
      </c>
      <c r="F1640" s="6" t="s">
        <v>166</v>
      </c>
      <c r="G1640" s="6" t="s">
        <v>261</v>
      </c>
      <c r="H1640" s="6" t="s">
        <v>267</v>
      </c>
      <c r="I1640" s="6" t="s">
        <v>63</v>
      </c>
      <c r="J1640" s="6">
        <v>17.248352409999999</v>
      </c>
      <c r="K1640" s="6">
        <v>-97.793779709999995</v>
      </c>
      <c r="L1640" s="6" t="str">
        <f>HYPERLINK("https://maps.google.com/?q=17.24835241,-97.793779709999995", "🔗 Ver Mapa")</f>
        <v>🔗 Ver Mapa</v>
      </c>
    </row>
    <row r="1641" spans="1:12" ht="43.5" x14ac:dyDescent="0.35">
      <c r="A1641" s="5" t="s">
        <v>8</v>
      </c>
      <c r="B1641" s="5" t="s">
        <v>16</v>
      </c>
      <c r="C1641" s="5" t="s">
        <v>266</v>
      </c>
      <c r="D1641" s="5" t="s">
        <v>35</v>
      </c>
      <c r="E1641" s="5" t="s">
        <v>128</v>
      </c>
      <c r="F1641" s="5" t="s">
        <v>166</v>
      </c>
      <c r="G1641" s="5" t="s">
        <v>261</v>
      </c>
      <c r="H1641" s="5" t="s">
        <v>267</v>
      </c>
      <c r="I1641" s="5" t="s">
        <v>63</v>
      </c>
      <c r="J1641" s="5">
        <v>17.24897065</v>
      </c>
      <c r="K1641" s="5">
        <v>-97.800943820000001</v>
      </c>
      <c r="L1641" s="5" t="str">
        <f>HYPERLINK("https://maps.google.com/?q=17.24897065,-97.800943820000001", "🔗 Ver Mapa")</f>
        <v>🔗 Ver Mapa</v>
      </c>
    </row>
    <row r="1642" spans="1:12" ht="43.5" x14ac:dyDescent="0.35">
      <c r="A1642" s="6" t="s">
        <v>8</v>
      </c>
      <c r="B1642" s="6" t="s">
        <v>16</v>
      </c>
      <c r="C1642" s="6" t="s">
        <v>266</v>
      </c>
      <c r="D1642" s="6" t="s">
        <v>35</v>
      </c>
      <c r="E1642" s="6" t="s">
        <v>128</v>
      </c>
      <c r="F1642" s="6" t="s">
        <v>166</v>
      </c>
      <c r="G1642" s="6" t="s">
        <v>261</v>
      </c>
      <c r="H1642" s="6" t="s">
        <v>267</v>
      </c>
      <c r="I1642" s="6" t="s">
        <v>63</v>
      </c>
      <c r="J1642" s="6">
        <v>17.249929909999999</v>
      </c>
      <c r="K1642" s="6">
        <v>-97.797489580000004</v>
      </c>
      <c r="L1642" s="6" t="str">
        <f>HYPERLINK("https://maps.google.com/?q=17.24992991,-97.797489580000004", "🔗 Ver Mapa")</f>
        <v>🔗 Ver Mapa</v>
      </c>
    </row>
    <row r="1643" spans="1:12" ht="43.5" x14ac:dyDescent="0.35">
      <c r="A1643" s="5" t="s">
        <v>8</v>
      </c>
      <c r="B1643" s="5" t="s">
        <v>16</v>
      </c>
      <c r="C1643" s="5" t="s">
        <v>268</v>
      </c>
      <c r="D1643" s="5" t="s">
        <v>35</v>
      </c>
      <c r="E1643" s="5" t="s">
        <v>128</v>
      </c>
      <c r="F1643" s="5" t="s">
        <v>166</v>
      </c>
      <c r="G1643" s="5" t="s">
        <v>261</v>
      </c>
      <c r="H1643" s="5" t="s">
        <v>269</v>
      </c>
      <c r="I1643" s="5" t="s">
        <v>63</v>
      </c>
      <c r="J1643" s="5">
        <v>17.323147918427999</v>
      </c>
      <c r="K1643" s="5">
        <v>-97.894380152376002</v>
      </c>
      <c r="L1643" s="5" t="str">
        <f>HYPERLINK("https://maps.google.com/?q=17.3231479184281,-97.894380152375703", "🔗 Ver Mapa")</f>
        <v>🔗 Ver Mapa</v>
      </c>
    </row>
    <row r="1644" spans="1:12" ht="43.5" x14ac:dyDescent="0.35">
      <c r="A1644" s="6" t="s">
        <v>8</v>
      </c>
      <c r="B1644" s="6" t="s">
        <v>16</v>
      </c>
      <c r="C1644" s="6" t="s">
        <v>268</v>
      </c>
      <c r="D1644" s="6" t="s">
        <v>35</v>
      </c>
      <c r="E1644" s="6" t="s">
        <v>128</v>
      </c>
      <c r="F1644" s="6" t="s">
        <v>166</v>
      </c>
      <c r="G1644" s="6" t="s">
        <v>261</v>
      </c>
      <c r="H1644" s="6" t="s">
        <v>269</v>
      </c>
      <c r="I1644" s="6" t="s">
        <v>63</v>
      </c>
      <c r="J1644" s="6">
        <v>17.323323726914001</v>
      </c>
      <c r="K1644" s="6">
        <v>-97.896806726069997</v>
      </c>
      <c r="L1644" s="6" t="str">
        <f>HYPERLINK("https://maps.google.com/?q=17.3233237269142,-97.896806726070395", "🔗 Ver Mapa")</f>
        <v>🔗 Ver Mapa</v>
      </c>
    </row>
    <row r="1645" spans="1:12" ht="43.5" x14ac:dyDescent="0.35">
      <c r="A1645" s="5" t="s">
        <v>8</v>
      </c>
      <c r="B1645" s="5" t="s">
        <v>16</v>
      </c>
      <c r="C1645" s="5" t="s">
        <v>268</v>
      </c>
      <c r="D1645" s="5" t="s">
        <v>35</v>
      </c>
      <c r="E1645" s="5" t="s">
        <v>128</v>
      </c>
      <c r="F1645" s="5" t="s">
        <v>166</v>
      </c>
      <c r="G1645" s="5" t="s">
        <v>261</v>
      </c>
      <c r="H1645" s="5" t="s">
        <v>269</v>
      </c>
      <c r="I1645" s="5" t="s">
        <v>63</v>
      </c>
      <c r="J1645" s="5">
        <v>17.323419336057999</v>
      </c>
      <c r="K1645" s="5">
        <v>-97.894460618645994</v>
      </c>
      <c r="L1645" s="5" t="str">
        <f>HYPERLINK("https://maps.google.com/?q=17.323419336058,-97.894460618646207", "🔗 Ver Mapa")</f>
        <v>🔗 Ver Mapa</v>
      </c>
    </row>
    <row r="1646" spans="1:12" ht="43.5" x14ac:dyDescent="0.35">
      <c r="A1646" s="6" t="s">
        <v>8</v>
      </c>
      <c r="B1646" s="6" t="s">
        <v>16</v>
      </c>
      <c r="C1646" s="6" t="s">
        <v>268</v>
      </c>
      <c r="D1646" s="6" t="s">
        <v>35</v>
      </c>
      <c r="E1646" s="6" t="s">
        <v>128</v>
      </c>
      <c r="F1646" s="6" t="s">
        <v>166</v>
      </c>
      <c r="G1646" s="6" t="s">
        <v>261</v>
      </c>
      <c r="H1646" s="6" t="s">
        <v>269</v>
      </c>
      <c r="I1646" s="6" t="s">
        <v>63</v>
      </c>
      <c r="J1646" s="6">
        <v>17.323666327746999</v>
      </c>
      <c r="K1646" s="6">
        <v>-97.894482904669999</v>
      </c>
      <c r="L1646" s="6" t="str">
        <f>HYPERLINK("https://maps.google.com/?q=17.3236663277468,-97.894482904669502", "🔗 Ver Mapa")</f>
        <v>🔗 Ver Mapa</v>
      </c>
    </row>
    <row r="1647" spans="1:12" ht="43.5" x14ac:dyDescent="0.35">
      <c r="A1647" s="5" t="s">
        <v>8</v>
      </c>
      <c r="B1647" s="5" t="s">
        <v>16</v>
      </c>
      <c r="C1647" s="5" t="s">
        <v>268</v>
      </c>
      <c r="D1647" s="5" t="s">
        <v>35</v>
      </c>
      <c r="E1647" s="5" t="s">
        <v>128</v>
      </c>
      <c r="F1647" s="5" t="s">
        <v>166</v>
      </c>
      <c r="G1647" s="5" t="s">
        <v>261</v>
      </c>
      <c r="H1647" s="5" t="s">
        <v>269</v>
      </c>
      <c r="I1647" s="5" t="s">
        <v>63</v>
      </c>
      <c r="J1647" s="5">
        <v>17.323860928557998</v>
      </c>
      <c r="K1647" s="5">
        <v>-97.894413167235001</v>
      </c>
      <c r="L1647" s="5" t="str">
        <f>HYPERLINK("https://maps.google.com/?q=17.323860928558,-97.894413167235101", "🔗 Ver Mapa")</f>
        <v>🔗 Ver Mapa</v>
      </c>
    </row>
    <row r="1648" spans="1:12" ht="43.5" x14ac:dyDescent="0.35">
      <c r="A1648" s="6" t="s">
        <v>8</v>
      </c>
      <c r="B1648" s="6" t="s">
        <v>16</v>
      </c>
      <c r="C1648" s="6" t="s">
        <v>268</v>
      </c>
      <c r="D1648" s="6" t="s">
        <v>35</v>
      </c>
      <c r="E1648" s="6" t="s">
        <v>128</v>
      </c>
      <c r="F1648" s="6" t="s">
        <v>166</v>
      </c>
      <c r="G1648" s="6" t="s">
        <v>261</v>
      </c>
      <c r="H1648" s="6" t="s">
        <v>269</v>
      </c>
      <c r="I1648" s="6" t="s">
        <v>63</v>
      </c>
      <c r="J1648" s="6">
        <v>17.323907388156002</v>
      </c>
      <c r="K1648" s="6">
        <v>-97.897234113631995</v>
      </c>
      <c r="L1648" s="6" t="str">
        <f>HYPERLINK("https://maps.google.com/?q=17.3239073881559,-97.897234113632294", "🔗 Ver Mapa")</f>
        <v>🔗 Ver Mapa</v>
      </c>
    </row>
    <row r="1649" spans="1:12" ht="43.5" x14ac:dyDescent="0.35">
      <c r="A1649" s="5" t="s">
        <v>8</v>
      </c>
      <c r="B1649" s="5" t="s">
        <v>16</v>
      </c>
      <c r="C1649" s="5" t="s">
        <v>268</v>
      </c>
      <c r="D1649" s="5" t="s">
        <v>35</v>
      </c>
      <c r="E1649" s="5" t="s">
        <v>128</v>
      </c>
      <c r="F1649" s="5" t="s">
        <v>166</v>
      </c>
      <c r="G1649" s="5" t="s">
        <v>261</v>
      </c>
      <c r="H1649" s="5" t="s">
        <v>269</v>
      </c>
      <c r="I1649" s="5" t="s">
        <v>63</v>
      </c>
      <c r="J1649" s="5">
        <v>17.324214282134999</v>
      </c>
      <c r="K1649" s="5">
        <v>-97.894595557448</v>
      </c>
      <c r="L1649" s="5" t="str">
        <f>HYPERLINK("https://maps.google.com/?q=17.324214282135,-97.894595557448099", "🔗 Ver Mapa")</f>
        <v>🔗 Ver Mapa</v>
      </c>
    </row>
    <row r="1650" spans="1:12" ht="43.5" x14ac:dyDescent="0.35">
      <c r="A1650" s="6" t="s">
        <v>8</v>
      </c>
      <c r="B1650" s="6" t="s">
        <v>16</v>
      </c>
      <c r="C1650" s="6" t="s">
        <v>268</v>
      </c>
      <c r="D1650" s="6" t="s">
        <v>35</v>
      </c>
      <c r="E1650" s="6" t="s">
        <v>128</v>
      </c>
      <c r="F1650" s="6" t="s">
        <v>166</v>
      </c>
      <c r="G1650" s="6" t="s">
        <v>261</v>
      </c>
      <c r="H1650" s="6" t="s">
        <v>269</v>
      </c>
      <c r="I1650" s="6" t="s">
        <v>63</v>
      </c>
      <c r="J1650" s="6">
        <v>17.324818566386998</v>
      </c>
      <c r="K1650" s="6">
        <v>-97.895574563737995</v>
      </c>
      <c r="L1650" s="6" t="str">
        <f>HYPERLINK("https://maps.google.com/?q=17.3248185663872,-97.895574563737597", "🔗 Ver Mapa")</f>
        <v>🔗 Ver Mapa</v>
      </c>
    </row>
    <row r="1651" spans="1:12" ht="43.5" x14ac:dyDescent="0.35">
      <c r="A1651" s="5" t="s">
        <v>8</v>
      </c>
      <c r="B1651" s="5" t="s">
        <v>16</v>
      </c>
      <c r="C1651" s="5" t="s">
        <v>268</v>
      </c>
      <c r="D1651" s="5" t="s">
        <v>35</v>
      </c>
      <c r="E1651" s="5" t="s">
        <v>128</v>
      </c>
      <c r="F1651" s="5" t="s">
        <v>166</v>
      </c>
      <c r="G1651" s="5" t="s">
        <v>261</v>
      </c>
      <c r="H1651" s="5" t="s">
        <v>269</v>
      </c>
      <c r="I1651" s="5" t="s">
        <v>63</v>
      </c>
      <c r="J1651" s="5">
        <v>17.324851853174</v>
      </c>
      <c r="K1651" s="5">
        <v>-97.895440453286994</v>
      </c>
      <c r="L1651" s="5" t="str">
        <f>HYPERLINK("https://maps.google.com/?q=17.3248518531738,-97.895440453286895", "🔗 Ver Mapa")</f>
        <v>🔗 Ver Mapa</v>
      </c>
    </row>
    <row r="1652" spans="1:12" ht="43.5" x14ac:dyDescent="0.35">
      <c r="A1652" s="6" t="s">
        <v>8</v>
      </c>
      <c r="B1652" s="6" t="s">
        <v>16</v>
      </c>
      <c r="C1652" s="6" t="s">
        <v>268</v>
      </c>
      <c r="D1652" s="6" t="s">
        <v>35</v>
      </c>
      <c r="E1652" s="6" t="s">
        <v>128</v>
      </c>
      <c r="F1652" s="6" t="s">
        <v>166</v>
      </c>
      <c r="G1652" s="6" t="s">
        <v>261</v>
      </c>
      <c r="H1652" s="6" t="s">
        <v>269</v>
      </c>
      <c r="I1652" s="6" t="s">
        <v>63</v>
      </c>
      <c r="J1652" s="6">
        <v>17.32499268182</v>
      </c>
      <c r="K1652" s="6">
        <v>-97.895024710889999</v>
      </c>
      <c r="L1652" s="6" t="str">
        <f>HYPERLINK("https://maps.google.com/?q=17.3249926818198,-97.895024710889501", "🔗 Ver Mapa")</f>
        <v>🔗 Ver Mapa</v>
      </c>
    </row>
    <row r="1653" spans="1:12" ht="43.5" x14ac:dyDescent="0.35">
      <c r="A1653" s="5" t="s">
        <v>8</v>
      </c>
      <c r="B1653" s="5" t="s">
        <v>16</v>
      </c>
      <c r="C1653" s="5" t="s">
        <v>270</v>
      </c>
      <c r="D1653" s="5" t="s">
        <v>35</v>
      </c>
      <c r="E1653" s="5" t="s">
        <v>128</v>
      </c>
      <c r="F1653" s="5" t="s">
        <v>166</v>
      </c>
      <c r="G1653" s="5" t="s">
        <v>261</v>
      </c>
      <c r="H1653" s="5" t="s">
        <v>271</v>
      </c>
      <c r="I1653" s="5" t="s">
        <v>63</v>
      </c>
      <c r="J1653" s="5">
        <v>17.326246000000001</v>
      </c>
      <c r="K1653" s="5">
        <v>-97.879033000000007</v>
      </c>
      <c r="L1653" s="5" t="str">
        <f>HYPERLINK("https://maps.google.com/?q=17.326246,-97.879033000000007", "🔗 Ver Mapa")</f>
        <v>🔗 Ver Mapa</v>
      </c>
    </row>
    <row r="1654" spans="1:12" ht="43.5" x14ac:dyDescent="0.35">
      <c r="A1654" s="6" t="s">
        <v>8</v>
      </c>
      <c r="B1654" s="6" t="s">
        <v>16</v>
      </c>
      <c r="C1654" s="6" t="s">
        <v>270</v>
      </c>
      <c r="D1654" s="6" t="s">
        <v>35</v>
      </c>
      <c r="E1654" s="6" t="s">
        <v>128</v>
      </c>
      <c r="F1654" s="6" t="s">
        <v>166</v>
      </c>
      <c r="G1654" s="6" t="s">
        <v>261</v>
      </c>
      <c r="H1654" s="6" t="s">
        <v>271</v>
      </c>
      <c r="I1654" s="6" t="s">
        <v>63</v>
      </c>
      <c r="J1654" s="6">
        <v>17.332877</v>
      </c>
      <c r="K1654" s="6">
        <v>-97.873197000000005</v>
      </c>
      <c r="L1654" s="6" t="str">
        <f>HYPERLINK("https://maps.google.com/?q=17.332877,-97.873197000000005", "🔗 Ver Mapa")</f>
        <v>🔗 Ver Mapa</v>
      </c>
    </row>
    <row r="1655" spans="1:12" ht="43.5" x14ac:dyDescent="0.35">
      <c r="A1655" s="5" t="s">
        <v>8</v>
      </c>
      <c r="B1655" s="5" t="s">
        <v>16</v>
      </c>
      <c r="C1655" s="5" t="s">
        <v>270</v>
      </c>
      <c r="D1655" s="5" t="s">
        <v>35</v>
      </c>
      <c r="E1655" s="5" t="s">
        <v>128</v>
      </c>
      <c r="F1655" s="5" t="s">
        <v>166</v>
      </c>
      <c r="G1655" s="5" t="s">
        <v>261</v>
      </c>
      <c r="H1655" s="5" t="s">
        <v>271</v>
      </c>
      <c r="I1655" s="5" t="s">
        <v>63</v>
      </c>
      <c r="J1655" s="5">
        <v>17.334496999999999</v>
      </c>
      <c r="K1655" s="5">
        <v>-97.870947999999999</v>
      </c>
      <c r="L1655" s="5" t="str">
        <f>HYPERLINK("https://maps.google.com/?q=17.334497,-97.870947999999999", "🔗 Ver Mapa")</f>
        <v>🔗 Ver Mapa</v>
      </c>
    </row>
    <row r="1656" spans="1:12" ht="43.5" x14ac:dyDescent="0.35">
      <c r="A1656" s="6" t="s">
        <v>8</v>
      </c>
      <c r="B1656" s="6" t="s">
        <v>16</v>
      </c>
      <c r="C1656" s="6" t="s">
        <v>270</v>
      </c>
      <c r="D1656" s="6" t="s">
        <v>35</v>
      </c>
      <c r="E1656" s="6" t="s">
        <v>128</v>
      </c>
      <c r="F1656" s="6" t="s">
        <v>166</v>
      </c>
      <c r="G1656" s="6" t="s">
        <v>261</v>
      </c>
      <c r="H1656" s="6" t="s">
        <v>271</v>
      </c>
      <c r="I1656" s="6" t="s">
        <v>63</v>
      </c>
      <c r="J1656" s="6">
        <v>17.335314</v>
      </c>
      <c r="K1656" s="6">
        <v>-97.871195999999998</v>
      </c>
      <c r="L1656" s="6" t="str">
        <f>HYPERLINK("https://maps.google.com/?q=17.335314,-97.871195999999998", "🔗 Ver Mapa")</f>
        <v>🔗 Ver Mapa</v>
      </c>
    </row>
    <row r="1657" spans="1:12" ht="43.5" x14ac:dyDescent="0.35">
      <c r="A1657" s="5" t="s">
        <v>8</v>
      </c>
      <c r="B1657" s="5" t="s">
        <v>16</v>
      </c>
      <c r="C1657" s="5" t="s">
        <v>270</v>
      </c>
      <c r="D1657" s="5" t="s">
        <v>35</v>
      </c>
      <c r="E1657" s="5" t="s">
        <v>128</v>
      </c>
      <c r="F1657" s="5" t="s">
        <v>166</v>
      </c>
      <c r="G1657" s="5" t="s">
        <v>261</v>
      </c>
      <c r="H1657" s="5" t="s">
        <v>271</v>
      </c>
      <c r="I1657" s="5" t="s">
        <v>63</v>
      </c>
      <c r="J1657" s="5">
        <v>17.335635</v>
      </c>
      <c r="K1657" s="5">
        <v>-97.876570999999998</v>
      </c>
      <c r="L1657" s="5" t="str">
        <f>HYPERLINK("https://maps.google.com/?q=17.335635,-97.876570999999998", "🔗 Ver Mapa")</f>
        <v>🔗 Ver Mapa</v>
      </c>
    </row>
    <row r="1658" spans="1:12" ht="43.5" x14ac:dyDescent="0.35">
      <c r="A1658" s="6" t="s">
        <v>8</v>
      </c>
      <c r="B1658" s="6" t="s">
        <v>16</v>
      </c>
      <c r="C1658" s="6" t="s">
        <v>270</v>
      </c>
      <c r="D1658" s="6" t="s">
        <v>35</v>
      </c>
      <c r="E1658" s="6" t="s">
        <v>128</v>
      </c>
      <c r="F1658" s="6" t="s">
        <v>166</v>
      </c>
      <c r="G1658" s="6" t="s">
        <v>261</v>
      </c>
      <c r="H1658" s="6" t="s">
        <v>271</v>
      </c>
      <c r="I1658" s="6" t="s">
        <v>63</v>
      </c>
      <c r="J1658" s="6">
        <v>17.335795999999998</v>
      </c>
      <c r="K1658" s="6">
        <v>-97.876480000000001</v>
      </c>
      <c r="L1658" s="6" t="str">
        <f>HYPERLINK("https://maps.google.com/?q=17.335796,-97.876480000000001", "🔗 Ver Mapa")</f>
        <v>🔗 Ver Mapa</v>
      </c>
    </row>
    <row r="1659" spans="1:12" ht="43.5" x14ac:dyDescent="0.35">
      <c r="A1659" s="5" t="s">
        <v>8</v>
      </c>
      <c r="B1659" s="5" t="s">
        <v>16</v>
      </c>
      <c r="C1659" s="5" t="s">
        <v>270</v>
      </c>
      <c r="D1659" s="5" t="s">
        <v>35</v>
      </c>
      <c r="E1659" s="5" t="s">
        <v>128</v>
      </c>
      <c r="F1659" s="5" t="s">
        <v>166</v>
      </c>
      <c r="G1659" s="5" t="s">
        <v>261</v>
      </c>
      <c r="H1659" s="5" t="s">
        <v>271</v>
      </c>
      <c r="I1659" s="5" t="s">
        <v>63</v>
      </c>
      <c r="J1659" s="5">
        <v>17.335801</v>
      </c>
      <c r="K1659" s="5">
        <v>-97.881482000000005</v>
      </c>
      <c r="L1659" s="5" t="str">
        <f>HYPERLINK("https://maps.google.com/?q=17.335801,-97.881482000000005", "🔗 Ver Mapa")</f>
        <v>🔗 Ver Mapa</v>
      </c>
    </row>
    <row r="1660" spans="1:12" ht="43.5" x14ac:dyDescent="0.35">
      <c r="A1660" s="6" t="s">
        <v>8</v>
      </c>
      <c r="B1660" s="6" t="s">
        <v>16</v>
      </c>
      <c r="C1660" s="6" t="s">
        <v>270</v>
      </c>
      <c r="D1660" s="6" t="s">
        <v>35</v>
      </c>
      <c r="E1660" s="6" t="s">
        <v>128</v>
      </c>
      <c r="F1660" s="6" t="s">
        <v>166</v>
      </c>
      <c r="G1660" s="6" t="s">
        <v>261</v>
      </c>
      <c r="H1660" s="6" t="s">
        <v>271</v>
      </c>
      <c r="I1660" s="6" t="s">
        <v>63</v>
      </c>
      <c r="J1660" s="6">
        <v>17.335847000000001</v>
      </c>
      <c r="K1660" s="6">
        <v>-97.880599000000004</v>
      </c>
      <c r="L1660" s="6" t="str">
        <f>HYPERLINK("https://maps.google.com/?q=17.335847,-97.880599000000004", "🔗 Ver Mapa")</f>
        <v>🔗 Ver Mapa</v>
      </c>
    </row>
    <row r="1661" spans="1:12" ht="43.5" x14ac:dyDescent="0.35">
      <c r="A1661" s="5" t="s">
        <v>8</v>
      </c>
      <c r="B1661" s="5" t="s">
        <v>16</v>
      </c>
      <c r="C1661" s="5" t="s">
        <v>270</v>
      </c>
      <c r="D1661" s="5" t="s">
        <v>35</v>
      </c>
      <c r="E1661" s="5" t="s">
        <v>128</v>
      </c>
      <c r="F1661" s="5" t="s">
        <v>166</v>
      </c>
      <c r="G1661" s="5" t="s">
        <v>261</v>
      </c>
      <c r="H1661" s="5" t="s">
        <v>271</v>
      </c>
      <c r="I1661" s="5" t="s">
        <v>63</v>
      </c>
      <c r="J1661" s="5">
        <v>17.337232</v>
      </c>
      <c r="K1661" s="5">
        <v>-97.875725000000003</v>
      </c>
      <c r="L1661" s="5" t="str">
        <f>HYPERLINK("https://maps.google.com/?q=17.337232,-97.875725000000003", "🔗 Ver Mapa")</f>
        <v>🔗 Ver Mapa</v>
      </c>
    </row>
    <row r="1662" spans="1:12" ht="43.5" x14ac:dyDescent="0.35">
      <c r="A1662" s="6" t="s">
        <v>8</v>
      </c>
      <c r="B1662" s="6" t="s">
        <v>16</v>
      </c>
      <c r="C1662" s="6" t="s">
        <v>270</v>
      </c>
      <c r="D1662" s="6" t="s">
        <v>35</v>
      </c>
      <c r="E1662" s="6" t="s">
        <v>128</v>
      </c>
      <c r="F1662" s="6" t="s">
        <v>166</v>
      </c>
      <c r="G1662" s="6" t="s">
        <v>261</v>
      </c>
      <c r="H1662" s="6" t="s">
        <v>271</v>
      </c>
      <c r="I1662" s="6" t="s">
        <v>63</v>
      </c>
      <c r="J1662" s="6">
        <v>17.339054999999998</v>
      </c>
      <c r="K1662" s="6">
        <v>-97.874386999999999</v>
      </c>
      <c r="L1662" s="6" t="str">
        <f>HYPERLINK("https://maps.google.com/?q=17.339055,-97.874386999999999", "🔗 Ver Mapa")</f>
        <v>🔗 Ver Mapa</v>
      </c>
    </row>
    <row r="1663" spans="1:12" ht="58" x14ac:dyDescent="0.35">
      <c r="A1663" s="5" t="s">
        <v>8</v>
      </c>
      <c r="B1663" s="5" t="s">
        <v>16</v>
      </c>
      <c r="C1663" s="5" t="s">
        <v>272</v>
      </c>
      <c r="D1663" s="5" t="s">
        <v>35</v>
      </c>
      <c r="E1663" s="5" t="s">
        <v>128</v>
      </c>
      <c r="F1663" s="5" t="s">
        <v>166</v>
      </c>
      <c r="G1663" s="5" t="s">
        <v>261</v>
      </c>
      <c r="H1663" s="5" t="s">
        <v>273</v>
      </c>
      <c r="I1663" s="5" t="s">
        <v>63</v>
      </c>
      <c r="J1663" s="5">
        <v>17.25156806</v>
      </c>
      <c r="K1663" s="5">
        <v>-97.878411013561006</v>
      </c>
      <c r="L1663" s="5" t="str">
        <f>HYPERLINK("https://maps.google.com/?q=17.25156806,-97.878411013561106", "🔗 Ver Mapa")</f>
        <v>🔗 Ver Mapa</v>
      </c>
    </row>
    <row r="1664" spans="1:12" ht="58" x14ac:dyDescent="0.35">
      <c r="A1664" s="6" t="s">
        <v>8</v>
      </c>
      <c r="B1664" s="6" t="s">
        <v>16</v>
      </c>
      <c r="C1664" s="6" t="s">
        <v>272</v>
      </c>
      <c r="D1664" s="6" t="s">
        <v>35</v>
      </c>
      <c r="E1664" s="6" t="s">
        <v>128</v>
      </c>
      <c r="F1664" s="6" t="s">
        <v>166</v>
      </c>
      <c r="G1664" s="6" t="s">
        <v>261</v>
      </c>
      <c r="H1664" s="6" t="s">
        <v>273</v>
      </c>
      <c r="I1664" s="6" t="s">
        <v>63</v>
      </c>
      <c r="J1664" s="6">
        <v>17.253318239999999</v>
      </c>
      <c r="K1664" s="6">
        <v>-97.881344775811002</v>
      </c>
      <c r="L1664" s="6" t="str">
        <f>HYPERLINK("https://maps.google.com/?q=17.25331824,-97.881344775811399", "🔗 Ver Mapa")</f>
        <v>🔗 Ver Mapa</v>
      </c>
    </row>
    <row r="1665" spans="1:12" ht="58" x14ac:dyDescent="0.35">
      <c r="A1665" s="5" t="s">
        <v>8</v>
      </c>
      <c r="B1665" s="5" t="s">
        <v>16</v>
      </c>
      <c r="C1665" s="5" t="s">
        <v>272</v>
      </c>
      <c r="D1665" s="5" t="s">
        <v>35</v>
      </c>
      <c r="E1665" s="5" t="s">
        <v>128</v>
      </c>
      <c r="F1665" s="5" t="s">
        <v>166</v>
      </c>
      <c r="G1665" s="5" t="s">
        <v>261</v>
      </c>
      <c r="H1665" s="5" t="s">
        <v>273</v>
      </c>
      <c r="I1665" s="5" t="s">
        <v>63</v>
      </c>
      <c r="J1665" s="5">
        <v>17.253950929999998</v>
      </c>
      <c r="K1665" s="5">
        <v>-97.881454746380001</v>
      </c>
      <c r="L1665" s="5" t="str">
        <f>HYPERLINK("https://maps.google.com/?q=17.25395093,-97.8814547463802", "🔗 Ver Mapa")</f>
        <v>🔗 Ver Mapa</v>
      </c>
    </row>
    <row r="1666" spans="1:12" ht="58" x14ac:dyDescent="0.35">
      <c r="A1666" s="6" t="s">
        <v>8</v>
      </c>
      <c r="B1666" s="6" t="s">
        <v>16</v>
      </c>
      <c r="C1666" s="6" t="s">
        <v>272</v>
      </c>
      <c r="D1666" s="6" t="s">
        <v>35</v>
      </c>
      <c r="E1666" s="6" t="s">
        <v>128</v>
      </c>
      <c r="F1666" s="6" t="s">
        <v>166</v>
      </c>
      <c r="G1666" s="6" t="s">
        <v>261</v>
      </c>
      <c r="H1666" s="6" t="s">
        <v>273</v>
      </c>
      <c r="I1666" s="6" t="s">
        <v>63</v>
      </c>
      <c r="J1666" s="6">
        <v>17.25424503</v>
      </c>
      <c r="K1666" s="6">
        <v>-97.887533735125999</v>
      </c>
      <c r="L1666" s="6" t="str">
        <f>HYPERLINK("https://maps.google.com/?q=17.25424503,-97.887533735126198", "🔗 Ver Mapa")</f>
        <v>🔗 Ver Mapa</v>
      </c>
    </row>
    <row r="1667" spans="1:12" ht="58" x14ac:dyDescent="0.35">
      <c r="A1667" s="5" t="s">
        <v>8</v>
      </c>
      <c r="B1667" s="5" t="s">
        <v>16</v>
      </c>
      <c r="C1667" s="5" t="s">
        <v>272</v>
      </c>
      <c r="D1667" s="5" t="s">
        <v>35</v>
      </c>
      <c r="E1667" s="5" t="s">
        <v>128</v>
      </c>
      <c r="F1667" s="5" t="s">
        <v>166</v>
      </c>
      <c r="G1667" s="5" t="s">
        <v>261</v>
      </c>
      <c r="H1667" s="5" t="s">
        <v>273</v>
      </c>
      <c r="I1667" s="5" t="s">
        <v>63</v>
      </c>
      <c r="J1667" s="5">
        <v>17.254572899999999</v>
      </c>
      <c r="K1667" s="5">
        <v>-97.885347734779998</v>
      </c>
      <c r="L1667" s="5" t="str">
        <f>HYPERLINK("https://maps.google.com/?q=17.2545729,-97.8853477347797", "🔗 Ver Mapa")</f>
        <v>🔗 Ver Mapa</v>
      </c>
    </row>
    <row r="1668" spans="1:12" ht="58" x14ac:dyDescent="0.35">
      <c r="A1668" s="6" t="s">
        <v>8</v>
      </c>
      <c r="B1668" s="6" t="s">
        <v>16</v>
      </c>
      <c r="C1668" s="6" t="s">
        <v>272</v>
      </c>
      <c r="D1668" s="6" t="s">
        <v>35</v>
      </c>
      <c r="E1668" s="6" t="s">
        <v>128</v>
      </c>
      <c r="F1668" s="6" t="s">
        <v>166</v>
      </c>
      <c r="G1668" s="6" t="s">
        <v>261</v>
      </c>
      <c r="H1668" s="6" t="s">
        <v>273</v>
      </c>
      <c r="I1668" s="6" t="s">
        <v>63</v>
      </c>
      <c r="J1668" s="6">
        <v>17.255471979999999</v>
      </c>
      <c r="K1668" s="6">
        <v>-97.886546682209001</v>
      </c>
      <c r="L1668" s="6" t="str">
        <f>HYPERLINK("https://maps.google.com/?q=17.25547198,-97.886546682209001", "🔗 Ver Mapa")</f>
        <v>🔗 Ver Mapa</v>
      </c>
    </row>
    <row r="1669" spans="1:12" ht="58" x14ac:dyDescent="0.35">
      <c r="A1669" s="5" t="s">
        <v>8</v>
      </c>
      <c r="B1669" s="5" t="s">
        <v>16</v>
      </c>
      <c r="C1669" s="5" t="s">
        <v>272</v>
      </c>
      <c r="D1669" s="5" t="s">
        <v>35</v>
      </c>
      <c r="E1669" s="5" t="s">
        <v>128</v>
      </c>
      <c r="F1669" s="5" t="s">
        <v>166</v>
      </c>
      <c r="G1669" s="5" t="s">
        <v>261</v>
      </c>
      <c r="H1669" s="5" t="s">
        <v>273</v>
      </c>
      <c r="I1669" s="5" t="s">
        <v>63</v>
      </c>
      <c r="J1669" s="5">
        <v>17.255884930000001</v>
      </c>
      <c r="K1669" s="5">
        <v>-97.890234480985995</v>
      </c>
      <c r="L1669" s="5" t="str">
        <f>HYPERLINK("https://maps.google.com/?q=17.25588493,-97.890234480985598", "🔗 Ver Mapa")</f>
        <v>🔗 Ver Mapa</v>
      </c>
    </row>
    <row r="1670" spans="1:12" ht="58" x14ac:dyDescent="0.35">
      <c r="A1670" s="6" t="s">
        <v>8</v>
      </c>
      <c r="B1670" s="6" t="s">
        <v>16</v>
      </c>
      <c r="C1670" s="6" t="s">
        <v>272</v>
      </c>
      <c r="D1670" s="6" t="s">
        <v>35</v>
      </c>
      <c r="E1670" s="6" t="s">
        <v>128</v>
      </c>
      <c r="F1670" s="6" t="s">
        <v>166</v>
      </c>
      <c r="G1670" s="6" t="s">
        <v>261</v>
      </c>
      <c r="H1670" s="6" t="s">
        <v>273</v>
      </c>
      <c r="I1670" s="6" t="s">
        <v>63</v>
      </c>
      <c r="J1670" s="6">
        <v>17.256971759999999</v>
      </c>
      <c r="K1670" s="6">
        <v>-97.887676970569999</v>
      </c>
      <c r="L1670" s="6" t="str">
        <f>HYPERLINK("https://maps.google.com/?q=17.25697176,-97.887676970569601", "🔗 Ver Mapa")</f>
        <v>🔗 Ver Mapa</v>
      </c>
    </row>
    <row r="1671" spans="1:12" ht="58" x14ac:dyDescent="0.35">
      <c r="A1671" s="5" t="s">
        <v>8</v>
      </c>
      <c r="B1671" s="5" t="s">
        <v>16</v>
      </c>
      <c r="C1671" s="5" t="s">
        <v>272</v>
      </c>
      <c r="D1671" s="5" t="s">
        <v>35</v>
      </c>
      <c r="E1671" s="5" t="s">
        <v>128</v>
      </c>
      <c r="F1671" s="5" t="s">
        <v>166</v>
      </c>
      <c r="G1671" s="5" t="s">
        <v>261</v>
      </c>
      <c r="H1671" s="5" t="s">
        <v>273</v>
      </c>
      <c r="I1671" s="5" t="s">
        <v>63</v>
      </c>
      <c r="J1671" s="5">
        <v>17.258934140000001</v>
      </c>
      <c r="K1671" s="5">
        <v>-97.888135974204999</v>
      </c>
      <c r="L1671" s="5" t="str">
        <f>HYPERLINK("https://maps.google.com/?q=17.25893414,-97.888135974205099", "🔗 Ver Mapa")</f>
        <v>🔗 Ver Mapa</v>
      </c>
    </row>
    <row r="1672" spans="1:12" ht="58" x14ac:dyDescent="0.35">
      <c r="A1672" s="6" t="s">
        <v>8</v>
      </c>
      <c r="B1672" s="6" t="s">
        <v>16</v>
      </c>
      <c r="C1672" s="6" t="s">
        <v>272</v>
      </c>
      <c r="D1672" s="6" t="s">
        <v>35</v>
      </c>
      <c r="E1672" s="6" t="s">
        <v>128</v>
      </c>
      <c r="F1672" s="6" t="s">
        <v>166</v>
      </c>
      <c r="G1672" s="6" t="s">
        <v>261</v>
      </c>
      <c r="H1672" s="6" t="s">
        <v>273</v>
      </c>
      <c r="I1672" s="6" t="s">
        <v>63</v>
      </c>
      <c r="J1672" s="6">
        <v>17.26032541</v>
      </c>
      <c r="K1672" s="6">
        <v>-97.890893271164003</v>
      </c>
      <c r="L1672" s="6" t="str">
        <f>HYPERLINK("https://maps.google.com/?q=17.26032541,-97.890893271163904", "🔗 Ver Mapa")</f>
        <v>🔗 Ver Mapa</v>
      </c>
    </row>
    <row r="1673" spans="1:12" ht="58" x14ac:dyDescent="0.35">
      <c r="A1673" s="5" t="s">
        <v>8</v>
      </c>
      <c r="B1673" s="5" t="s">
        <v>16</v>
      </c>
      <c r="C1673" s="5" t="s">
        <v>272</v>
      </c>
      <c r="D1673" s="5" t="s">
        <v>35</v>
      </c>
      <c r="E1673" s="5" t="s">
        <v>128</v>
      </c>
      <c r="F1673" s="5" t="s">
        <v>166</v>
      </c>
      <c r="G1673" s="5" t="s">
        <v>261</v>
      </c>
      <c r="H1673" s="5" t="s">
        <v>273</v>
      </c>
      <c r="I1673" s="5" t="s">
        <v>63</v>
      </c>
      <c r="J1673" s="5">
        <v>17.26175018</v>
      </c>
      <c r="K1673" s="5">
        <v>-97.890780125340001</v>
      </c>
      <c r="L1673" s="5" t="str">
        <f>HYPERLINK("https://maps.google.com/?q=17.26175018,-97.890780125340001", "🔗 Ver Mapa")</f>
        <v>🔗 Ver Mapa</v>
      </c>
    </row>
    <row r="1674" spans="1:12" ht="43.5" x14ac:dyDescent="0.35">
      <c r="A1674" s="6" t="s">
        <v>8</v>
      </c>
      <c r="B1674" s="6" t="s">
        <v>16</v>
      </c>
      <c r="C1674" s="6" t="s">
        <v>274</v>
      </c>
      <c r="D1674" s="6" t="s">
        <v>35</v>
      </c>
      <c r="E1674" s="6" t="s">
        <v>128</v>
      </c>
      <c r="F1674" s="6" t="s">
        <v>166</v>
      </c>
      <c r="G1674" s="6" t="s">
        <v>261</v>
      </c>
      <c r="H1674" s="6" t="s">
        <v>275</v>
      </c>
      <c r="I1674" s="6" t="s">
        <v>63</v>
      </c>
      <c r="J1674" s="6">
        <v>17.256000765772999</v>
      </c>
      <c r="K1674" s="6">
        <v>-97.819322447633994</v>
      </c>
      <c r="L1674" s="6" t="str">
        <f>HYPERLINK("https://maps.google.com/?q=17.2560007657727,-97.819322447634306", "🔗 Ver Mapa")</f>
        <v>🔗 Ver Mapa</v>
      </c>
    </row>
    <row r="1675" spans="1:12" ht="43.5" x14ac:dyDescent="0.35">
      <c r="A1675" s="5" t="s">
        <v>8</v>
      </c>
      <c r="B1675" s="5" t="s">
        <v>16</v>
      </c>
      <c r="C1675" s="5" t="s">
        <v>276</v>
      </c>
      <c r="D1675" s="5" t="s">
        <v>35</v>
      </c>
      <c r="E1675" s="5" t="s">
        <v>128</v>
      </c>
      <c r="F1675" s="5" t="s">
        <v>166</v>
      </c>
      <c r="G1675" s="5" t="s">
        <v>261</v>
      </c>
      <c r="H1675" s="5" t="s">
        <v>277</v>
      </c>
      <c r="I1675" s="5" t="s">
        <v>63</v>
      </c>
      <c r="J1675" s="5">
        <v>17.25514755</v>
      </c>
      <c r="K1675" s="5">
        <v>-97.802266790000004</v>
      </c>
      <c r="L1675" s="5" t="str">
        <f>HYPERLINK("https://maps.google.com/?q=17.25514755,-97.80226679", "🔗 Ver Mapa")</f>
        <v>🔗 Ver Mapa</v>
      </c>
    </row>
    <row r="1676" spans="1:12" ht="43.5" x14ac:dyDescent="0.35">
      <c r="A1676" s="6" t="s">
        <v>8</v>
      </c>
      <c r="B1676" s="6" t="s">
        <v>16</v>
      </c>
      <c r="C1676" s="6" t="s">
        <v>276</v>
      </c>
      <c r="D1676" s="6" t="s">
        <v>35</v>
      </c>
      <c r="E1676" s="6" t="s">
        <v>128</v>
      </c>
      <c r="F1676" s="6" t="s">
        <v>166</v>
      </c>
      <c r="G1676" s="6" t="s">
        <v>261</v>
      </c>
      <c r="H1676" s="6" t="s">
        <v>277</v>
      </c>
      <c r="I1676" s="6" t="s">
        <v>63</v>
      </c>
      <c r="J1676" s="6">
        <v>17.25584684</v>
      </c>
      <c r="K1676" s="6">
        <v>-97.802580610000007</v>
      </c>
      <c r="L1676" s="6" t="str">
        <f>HYPERLINK("https://maps.google.com/?q=17.25584684,-97.80258061", "🔗 Ver Mapa")</f>
        <v>🔗 Ver Mapa</v>
      </c>
    </row>
    <row r="1677" spans="1:12" ht="43.5" x14ac:dyDescent="0.35">
      <c r="A1677" s="5" t="s">
        <v>8</v>
      </c>
      <c r="B1677" s="5" t="s">
        <v>16</v>
      </c>
      <c r="C1677" s="5" t="s">
        <v>276</v>
      </c>
      <c r="D1677" s="5" t="s">
        <v>35</v>
      </c>
      <c r="E1677" s="5" t="s">
        <v>128</v>
      </c>
      <c r="F1677" s="5" t="s">
        <v>166</v>
      </c>
      <c r="G1677" s="5" t="s">
        <v>261</v>
      </c>
      <c r="H1677" s="5" t="s">
        <v>277</v>
      </c>
      <c r="I1677" s="5" t="s">
        <v>63</v>
      </c>
      <c r="J1677" s="5">
        <v>17.255887820000002</v>
      </c>
      <c r="K1677" s="5">
        <v>-97.801995890000001</v>
      </c>
      <c r="L1677" s="5" t="str">
        <f>HYPERLINK("https://maps.google.com/?q=17.25588782,-97.80199589", "🔗 Ver Mapa")</f>
        <v>🔗 Ver Mapa</v>
      </c>
    </row>
    <row r="1678" spans="1:12" ht="43.5" x14ac:dyDescent="0.35">
      <c r="A1678" s="6" t="s">
        <v>8</v>
      </c>
      <c r="B1678" s="6" t="s">
        <v>16</v>
      </c>
      <c r="C1678" s="6" t="s">
        <v>276</v>
      </c>
      <c r="D1678" s="6" t="s">
        <v>35</v>
      </c>
      <c r="E1678" s="6" t="s">
        <v>128</v>
      </c>
      <c r="F1678" s="6" t="s">
        <v>166</v>
      </c>
      <c r="G1678" s="6" t="s">
        <v>261</v>
      </c>
      <c r="H1678" s="6" t="s">
        <v>277</v>
      </c>
      <c r="I1678" s="6" t="s">
        <v>63</v>
      </c>
      <c r="J1678" s="6">
        <v>17.256494889999999</v>
      </c>
      <c r="K1678" s="6">
        <v>-97.801644519999996</v>
      </c>
      <c r="L1678" s="6" t="str">
        <f>HYPERLINK("https://maps.google.com/?q=17.25649489,-97.801644519999996", "🔗 Ver Mapa")</f>
        <v>🔗 Ver Mapa</v>
      </c>
    </row>
    <row r="1679" spans="1:12" ht="43.5" x14ac:dyDescent="0.35">
      <c r="A1679" s="5" t="s">
        <v>8</v>
      </c>
      <c r="B1679" s="5" t="s">
        <v>16</v>
      </c>
      <c r="C1679" s="5" t="s">
        <v>276</v>
      </c>
      <c r="D1679" s="5" t="s">
        <v>35</v>
      </c>
      <c r="E1679" s="5" t="s">
        <v>128</v>
      </c>
      <c r="F1679" s="5" t="s">
        <v>166</v>
      </c>
      <c r="G1679" s="5" t="s">
        <v>261</v>
      </c>
      <c r="H1679" s="5" t="s">
        <v>277</v>
      </c>
      <c r="I1679" s="5" t="s">
        <v>63</v>
      </c>
      <c r="J1679" s="5">
        <v>17.257186489999999</v>
      </c>
      <c r="K1679" s="5">
        <v>-97.799716009999997</v>
      </c>
      <c r="L1679" s="5" t="str">
        <f>HYPERLINK("https://maps.google.com/?q=17.25718649,-97.79971601", "🔗 Ver Mapa")</f>
        <v>🔗 Ver Mapa</v>
      </c>
    </row>
    <row r="1680" spans="1:12" ht="43.5" x14ac:dyDescent="0.35">
      <c r="A1680" s="6" t="s">
        <v>8</v>
      </c>
      <c r="B1680" s="6" t="s">
        <v>16</v>
      </c>
      <c r="C1680" s="6" t="s">
        <v>276</v>
      </c>
      <c r="D1680" s="6" t="s">
        <v>35</v>
      </c>
      <c r="E1680" s="6" t="s">
        <v>128</v>
      </c>
      <c r="F1680" s="6" t="s">
        <v>166</v>
      </c>
      <c r="G1680" s="6" t="s">
        <v>261</v>
      </c>
      <c r="H1680" s="6" t="s">
        <v>277</v>
      </c>
      <c r="I1680" s="6" t="s">
        <v>63</v>
      </c>
      <c r="J1680" s="6">
        <v>17.257388519999999</v>
      </c>
      <c r="K1680" s="6">
        <v>-97.800807680000005</v>
      </c>
      <c r="L1680" s="6" t="str">
        <f>HYPERLINK("https://maps.google.com/?q=17.25738852,-97.800807680000005", "🔗 Ver Mapa")</f>
        <v>🔗 Ver Mapa</v>
      </c>
    </row>
    <row r="1681" spans="1:12" ht="43.5" x14ac:dyDescent="0.35">
      <c r="A1681" s="5" t="s">
        <v>8</v>
      </c>
      <c r="B1681" s="5" t="s">
        <v>16</v>
      </c>
      <c r="C1681" s="5" t="s">
        <v>278</v>
      </c>
      <c r="D1681" s="5" t="s">
        <v>35</v>
      </c>
      <c r="E1681" s="5" t="s">
        <v>128</v>
      </c>
      <c r="F1681" s="5" t="s">
        <v>166</v>
      </c>
      <c r="G1681" s="5" t="s">
        <v>261</v>
      </c>
      <c r="H1681" s="5" t="s">
        <v>279</v>
      </c>
      <c r="I1681" s="5" t="s">
        <v>63</v>
      </c>
      <c r="J1681" s="5">
        <v>17.383188122145999</v>
      </c>
      <c r="K1681" s="5">
        <v>-97.909231317790997</v>
      </c>
      <c r="L1681" s="5" t="str">
        <f>HYPERLINK("https://maps.google.com/?q=17.3831881221465,-97.909231317790997", "🔗 Ver Mapa")</f>
        <v>🔗 Ver Mapa</v>
      </c>
    </row>
    <row r="1682" spans="1:12" ht="43.5" x14ac:dyDescent="0.35">
      <c r="A1682" s="6" t="s">
        <v>8</v>
      </c>
      <c r="B1682" s="6" t="s">
        <v>16</v>
      </c>
      <c r="C1682" s="6" t="s">
        <v>278</v>
      </c>
      <c r="D1682" s="6" t="s">
        <v>35</v>
      </c>
      <c r="E1682" s="6" t="s">
        <v>128</v>
      </c>
      <c r="F1682" s="6" t="s">
        <v>166</v>
      </c>
      <c r="G1682" s="6" t="s">
        <v>261</v>
      </c>
      <c r="H1682" s="6" t="s">
        <v>279</v>
      </c>
      <c r="I1682" s="6" t="s">
        <v>63</v>
      </c>
      <c r="J1682" s="6">
        <v>17.383967738033</v>
      </c>
      <c r="K1682" s="6">
        <v>-97.911460810959994</v>
      </c>
      <c r="L1682" s="6" t="str">
        <f>HYPERLINK("https://maps.google.com/?q=17.3839677380327,-97.911460810959696", "🔗 Ver Mapa")</f>
        <v>🔗 Ver Mapa</v>
      </c>
    </row>
    <row r="1683" spans="1:12" ht="43.5" x14ac:dyDescent="0.35">
      <c r="A1683" s="5" t="s">
        <v>8</v>
      </c>
      <c r="B1683" s="5" t="s">
        <v>16</v>
      </c>
      <c r="C1683" s="5" t="s">
        <v>278</v>
      </c>
      <c r="D1683" s="5" t="s">
        <v>35</v>
      </c>
      <c r="E1683" s="5" t="s">
        <v>128</v>
      </c>
      <c r="F1683" s="5" t="s">
        <v>166</v>
      </c>
      <c r="G1683" s="5" t="s">
        <v>261</v>
      </c>
      <c r="H1683" s="5" t="s">
        <v>279</v>
      </c>
      <c r="I1683" s="5" t="s">
        <v>63</v>
      </c>
      <c r="J1683" s="5">
        <v>17.384619122107001</v>
      </c>
      <c r="K1683" s="5">
        <v>-97.911816682208993</v>
      </c>
      <c r="L1683" s="5" t="str">
        <f>HYPERLINK("https://maps.google.com/?q=17.3846191221067,-97.911816682209206", "🔗 Ver Mapa")</f>
        <v>🔗 Ver Mapa</v>
      </c>
    </row>
    <row r="1684" spans="1:12" ht="43.5" x14ac:dyDescent="0.35">
      <c r="A1684" s="6" t="s">
        <v>8</v>
      </c>
      <c r="B1684" s="6" t="s">
        <v>16</v>
      </c>
      <c r="C1684" s="6" t="s">
        <v>278</v>
      </c>
      <c r="D1684" s="6" t="s">
        <v>35</v>
      </c>
      <c r="E1684" s="6" t="s">
        <v>128</v>
      </c>
      <c r="F1684" s="6" t="s">
        <v>166</v>
      </c>
      <c r="G1684" s="6" t="s">
        <v>261</v>
      </c>
      <c r="H1684" s="6" t="s">
        <v>279</v>
      </c>
      <c r="I1684" s="6" t="s">
        <v>63</v>
      </c>
      <c r="J1684" s="6">
        <v>17.385892002733002</v>
      </c>
      <c r="K1684" s="6">
        <v>-97.914136317791005</v>
      </c>
      <c r="L1684" s="6" t="str">
        <f>HYPERLINK("https://maps.google.com/?q=17.3858920027325,-97.914136317791005", "🔗 Ver Mapa")</f>
        <v>🔗 Ver Mapa</v>
      </c>
    </row>
    <row r="1685" spans="1:12" ht="43.5" x14ac:dyDescent="0.35">
      <c r="A1685" s="5" t="s">
        <v>8</v>
      </c>
      <c r="B1685" s="5" t="s">
        <v>16</v>
      </c>
      <c r="C1685" s="5" t="s">
        <v>278</v>
      </c>
      <c r="D1685" s="5" t="s">
        <v>35</v>
      </c>
      <c r="E1685" s="5" t="s">
        <v>128</v>
      </c>
      <c r="F1685" s="5" t="s">
        <v>166</v>
      </c>
      <c r="G1685" s="5" t="s">
        <v>261</v>
      </c>
      <c r="H1685" s="5" t="s">
        <v>279</v>
      </c>
      <c r="I1685" s="5" t="s">
        <v>63</v>
      </c>
      <c r="J1685" s="5">
        <v>17.38673456239</v>
      </c>
      <c r="K1685" s="5">
        <v>-97.914246317790997</v>
      </c>
      <c r="L1685" s="5" t="str">
        <f>HYPERLINK("https://maps.google.com/?q=17.3867345623902,-97.914246317791097", "🔗 Ver Mapa")</f>
        <v>🔗 Ver Mapa</v>
      </c>
    </row>
    <row r="1686" spans="1:12" ht="43.5" x14ac:dyDescent="0.35">
      <c r="A1686" s="6" t="s">
        <v>8</v>
      </c>
      <c r="B1686" s="6" t="s">
        <v>16</v>
      </c>
      <c r="C1686" s="6" t="s">
        <v>278</v>
      </c>
      <c r="D1686" s="6" t="s">
        <v>35</v>
      </c>
      <c r="E1686" s="6" t="s">
        <v>128</v>
      </c>
      <c r="F1686" s="6" t="s">
        <v>166</v>
      </c>
      <c r="G1686" s="6" t="s">
        <v>261</v>
      </c>
      <c r="H1686" s="6" t="s">
        <v>279</v>
      </c>
      <c r="I1686" s="6" t="s">
        <v>63</v>
      </c>
      <c r="J1686" s="6">
        <v>17.386803002732002</v>
      </c>
      <c r="K1686" s="6">
        <v>-97.913302317790993</v>
      </c>
      <c r="L1686" s="6" t="str">
        <f>HYPERLINK("https://maps.google.com/?q=17.3868030027325,-97.913302317790993", "🔗 Ver Mapa")</f>
        <v>🔗 Ver Mapa</v>
      </c>
    </row>
    <row r="1687" spans="1:12" ht="43.5" x14ac:dyDescent="0.35">
      <c r="A1687" s="5" t="s">
        <v>8</v>
      </c>
      <c r="B1687" s="5" t="s">
        <v>16</v>
      </c>
      <c r="C1687" s="5" t="s">
        <v>278</v>
      </c>
      <c r="D1687" s="5" t="s">
        <v>35</v>
      </c>
      <c r="E1687" s="5" t="s">
        <v>128</v>
      </c>
      <c r="F1687" s="5" t="s">
        <v>166</v>
      </c>
      <c r="G1687" s="5" t="s">
        <v>261</v>
      </c>
      <c r="H1687" s="5" t="s">
        <v>279</v>
      </c>
      <c r="I1687" s="5" t="s">
        <v>63</v>
      </c>
      <c r="J1687" s="5">
        <v>17.390389121946001</v>
      </c>
      <c r="K1687" s="5">
        <v>-97.910265682209001</v>
      </c>
      <c r="L1687" s="5" t="str">
        <f>HYPERLINK("https://maps.google.com/?q=17.3903891219463,-97.910265682209101", "🔗 Ver Mapa")</f>
        <v>🔗 Ver Mapa</v>
      </c>
    </row>
    <row r="1688" spans="1:12" ht="43.5" x14ac:dyDescent="0.35">
      <c r="A1688" s="6" t="s">
        <v>8</v>
      </c>
      <c r="B1688" s="6" t="s">
        <v>16</v>
      </c>
      <c r="C1688" s="6" t="s">
        <v>278</v>
      </c>
      <c r="D1688" s="6" t="s">
        <v>35</v>
      </c>
      <c r="E1688" s="6" t="s">
        <v>128</v>
      </c>
      <c r="F1688" s="6" t="s">
        <v>166</v>
      </c>
      <c r="G1688" s="6" t="s">
        <v>261</v>
      </c>
      <c r="H1688" s="6" t="s">
        <v>279</v>
      </c>
      <c r="I1688" s="6" t="s">
        <v>63</v>
      </c>
      <c r="J1688" s="6">
        <v>17.398943681195</v>
      </c>
      <c r="K1688" s="6">
        <v>-97.921746682209005</v>
      </c>
      <c r="L1688" s="6" t="str">
        <f>HYPERLINK("https://maps.google.com/?q=17.3989436811951,-97.921746682209005", "🔗 Ver Mapa")</f>
        <v>🔗 Ver Mapa</v>
      </c>
    </row>
    <row r="1689" spans="1:12" ht="43.5" x14ac:dyDescent="0.35">
      <c r="A1689" s="5" t="s">
        <v>8</v>
      </c>
      <c r="B1689" s="5" t="s">
        <v>16</v>
      </c>
      <c r="C1689" s="5" t="s">
        <v>278</v>
      </c>
      <c r="D1689" s="5" t="s">
        <v>35</v>
      </c>
      <c r="E1689" s="5" t="s">
        <v>128</v>
      </c>
      <c r="F1689" s="5" t="s">
        <v>166</v>
      </c>
      <c r="G1689" s="5" t="s">
        <v>261</v>
      </c>
      <c r="H1689" s="5" t="s">
        <v>279</v>
      </c>
      <c r="I1689" s="5" t="s">
        <v>63</v>
      </c>
      <c r="J1689" s="5">
        <v>17.39964281448</v>
      </c>
      <c r="K1689" s="5">
        <v>-97.919478057532999</v>
      </c>
      <c r="L1689" s="5" t="str">
        <f>HYPERLINK("https://maps.google.com/?q=17.3996428144798,-97.919478057532899", "🔗 Ver Mapa")</f>
        <v>🔗 Ver Mapa</v>
      </c>
    </row>
    <row r="1690" spans="1:12" ht="43.5" x14ac:dyDescent="0.35">
      <c r="A1690" s="6" t="s">
        <v>8</v>
      </c>
      <c r="B1690" s="6" t="s">
        <v>16</v>
      </c>
      <c r="C1690" s="6" t="s">
        <v>278</v>
      </c>
      <c r="D1690" s="6" t="s">
        <v>35</v>
      </c>
      <c r="E1690" s="6" t="s">
        <v>128</v>
      </c>
      <c r="F1690" s="6" t="s">
        <v>166</v>
      </c>
      <c r="G1690" s="6" t="s">
        <v>261</v>
      </c>
      <c r="H1690" s="6" t="s">
        <v>279</v>
      </c>
      <c r="I1690" s="6" t="s">
        <v>63</v>
      </c>
      <c r="J1690" s="6">
        <v>17.40000114091</v>
      </c>
      <c r="K1690" s="6">
        <v>-97.920266626982993</v>
      </c>
      <c r="L1690" s="6" t="str">
        <f>HYPERLINK("https://maps.google.com/?q=17.4000011409103,-97.920266626982993", "🔗 Ver Mapa")</f>
        <v>🔗 Ver Mapa</v>
      </c>
    </row>
    <row r="1691" spans="1:12" ht="43.5" x14ac:dyDescent="0.35">
      <c r="A1691" s="5" t="s">
        <v>8</v>
      </c>
      <c r="B1691" s="5" t="s">
        <v>16</v>
      </c>
      <c r="C1691" s="5" t="s">
        <v>280</v>
      </c>
      <c r="D1691" s="5" t="s">
        <v>35</v>
      </c>
      <c r="E1691" s="5" t="s">
        <v>128</v>
      </c>
      <c r="F1691" s="5" t="s">
        <v>166</v>
      </c>
      <c r="G1691" s="5" t="s">
        <v>261</v>
      </c>
      <c r="H1691" s="5" t="s">
        <v>281</v>
      </c>
      <c r="I1691" s="5" t="s">
        <v>63</v>
      </c>
      <c r="J1691" s="5">
        <v>17.2761</v>
      </c>
      <c r="K1691" s="5">
        <v>-97.873639999999995</v>
      </c>
      <c r="L1691" s="5" t="str">
        <f>HYPERLINK("https://maps.google.com/?q=17.2761,-97.873639999999995", "🔗 Ver Mapa")</f>
        <v>🔗 Ver Mapa</v>
      </c>
    </row>
    <row r="1692" spans="1:12" ht="43.5" x14ac:dyDescent="0.35">
      <c r="A1692" s="6" t="s">
        <v>8</v>
      </c>
      <c r="B1692" s="6" t="s">
        <v>16</v>
      </c>
      <c r="C1692" s="6" t="s">
        <v>280</v>
      </c>
      <c r="D1692" s="6" t="s">
        <v>35</v>
      </c>
      <c r="E1692" s="6" t="s">
        <v>128</v>
      </c>
      <c r="F1692" s="6" t="s">
        <v>166</v>
      </c>
      <c r="G1692" s="6" t="s">
        <v>261</v>
      </c>
      <c r="H1692" s="6" t="s">
        <v>281</v>
      </c>
      <c r="I1692" s="6" t="s">
        <v>63</v>
      </c>
      <c r="J1692" s="6">
        <v>17.276637000000001</v>
      </c>
      <c r="K1692" s="6">
        <v>-97.867914999999996</v>
      </c>
      <c r="L1692" s="6" t="str">
        <f>HYPERLINK("https://maps.google.com/?q=17.276637,-97.867914999999996", "🔗 Ver Mapa")</f>
        <v>🔗 Ver Mapa</v>
      </c>
    </row>
    <row r="1693" spans="1:12" ht="43.5" x14ac:dyDescent="0.35">
      <c r="A1693" s="5" t="s">
        <v>8</v>
      </c>
      <c r="B1693" s="5" t="s">
        <v>16</v>
      </c>
      <c r="C1693" s="5" t="s">
        <v>280</v>
      </c>
      <c r="D1693" s="5" t="s">
        <v>35</v>
      </c>
      <c r="E1693" s="5" t="s">
        <v>128</v>
      </c>
      <c r="F1693" s="5" t="s">
        <v>166</v>
      </c>
      <c r="G1693" s="5" t="s">
        <v>261</v>
      </c>
      <c r="H1693" s="5" t="s">
        <v>281</v>
      </c>
      <c r="I1693" s="5" t="s">
        <v>63</v>
      </c>
      <c r="J1693" s="5">
        <v>17.277823999999999</v>
      </c>
      <c r="K1693" s="5">
        <v>-97.872626100000005</v>
      </c>
      <c r="L1693" s="5" t="str">
        <f>HYPERLINK("https://maps.google.com/?q=17.277824,-97.872626100000005", "🔗 Ver Mapa")</f>
        <v>🔗 Ver Mapa</v>
      </c>
    </row>
    <row r="1694" spans="1:12" ht="43.5" x14ac:dyDescent="0.35">
      <c r="A1694" s="6" t="s">
        <v>8</v>
      </c>
      <c r="B1694" s="6" t="s">
        <v>16</v>
      </c>
      <c r="C1694" s="6" t="s">
        <v>280</v>
      </c>
      <c r="D1694" s="6" t="s">
        <v>35</v>
      </c>
      <c r="E1694" s="6" t="s">
        <v>128</v>
      </c>
      <c r="F1694" s="6" t="s">
        <v>166</v>
      </c>
      <c r="G1694" s="6" t="s">
        <v>261</v>
      </c>
      <c r="H1694" s="6" t="s">
        <v>281</v>
      </c>
      <c r="I1694" s="6" t="s">
        <v>63</v>
      </c>
      <c r="J1694" s="6">
        <v>17.279288000000001</v>
      </c>
      <c r="K1694" s="6">
        <v>-97.874178000000001</v>
      </c>
      <c r="L1694" s="6" t="str">
        <f>HYPERLINK("https://maps.google.com/?q=17.279288,-97.874178000000001", "🔗 Ver Mapa")</f>
        <v>🔗 Ver Mapa</v>
      </c>
    </row>
    <row r="1695" spans="1:12" ht="43.5" x14ac:dyDescent="0.35">
      <c r="A1695" s="5" t="s">
        <v>8</v>
      </c>
      <c r="B1695" s="5" t="s">
        <v>16</v>
      </c>
      <c r="C1695" s="5" t="s">
        <v>280</v>
      </c>
      <c r="D1695" s="5" t="s">
        <v>35</v>
      </c>
      <c r="E1695" s="5" t="s">
        <v>128</v>
      </c>
      <c r="F1695" s="5" t="s">
        <v>166</v>
      </c>
      <c r="G1695" s="5" t="s">
        <v>261</v>
      </c>
      <c r="H1695" s="5" t="s">
        <v>281</v>
      </c>
      <c r="I1695" s="5" t="s">
        <v>63</v>
      </c>
      <c r="J1695" s="5">
        <v>17.2794572</v>
      </c>
      <c r="K1695" s="5">
        <v>-97.874143000000004</v>
      </c>
      <c r="L1695" s="5" t="str">
        <f>HYPERLINK("https://maps.google.com/?q=17.2794572,-97.874143000000004", "🔗 Ver Mapa")</f>
        <v>🔗 Ver Mapa</v>
      </c>
    </row>
    <row r="1696" spans="1:12" ht="43.5" x14ac:dyDescent="0.35">
      <c r="A1696" s="6" t="s">
        <v>8</v>
      </c>
      <c r="B1696" s="6" t="s">
        <v>16</v>
      </c>
      <c r="C1696" s="6" t="s">
        <v>280</v>
      </c>
      <c r="D1696" s="6" t="s">
        <v>35</v>
      </c>
      <c r="E1696" s="6" t="s">
        <v>128</v>
      </c>
      <c r="F1696" s="6" t="s">
        <v>166</v>
      </c>
      <c r="G1696" s="6" t="s">
        <v>261</v>
      </c>
      <c r="H1696" s="6" t="s">
        <v>281</v>
      </c>
      <c r="I1696" s="6" t="s">
        <v>63</v>
      </c>
      <c r="J1696" s="6">
        <v>17.281199000000001</v>
      </c>
      <c r="K1696" s="6">
        <v>-97.873339000000001</v>
      </c>
      <c r="L1696" s="6" t="str">
        <f>HYPERLINK("https://maps.google.com/?q=17.281199,-97.873339000000001", "🔗 Ver Mapa")</f>
        <v>🔗 Ver Mapa</v>
      </c>
    </row>
    <row r="1697" spans="1:12" ht="43.5" x14ac:dyDescent="0.35">
      <c r="A1697" s="5" t="s">
        <v>8</v>
      </c>
      <c r="B1697" s="5" t="s">
        <v>16</v>
      </c>
      <c r="C1697" s="5" t="s">
        <v>280</v>
      </c>
      <c r="D1697" s="5" t="s">
        <v>35</v>
      </c>
      <c r="E1697" s="5" t="s">
        <v>128</v>
      </c>
      <c r="F1697" s="5" t="s">
        <v>166</v>
      </c>
      <c r="G1697" s="5" t="s">
        <v>261</v>
      </c>
      <c r="H1697" s="5" t="s">
        <v>281</v>
      </c>
      <c r="I1697" s="5" t="s">
        <v>63</v>
      </c>
      <c r="J1697" s="5">
        <v>17.281471</v>
      </c>
      <c r="K1697" s="5">
        <v>-97.871617999999998</v>
      </c>
      <c r="L1697" s="5" t="str">
        <f>HYPERLINK("https://maps.google.com/?q=17.281471,-97.871617999999998", "🔗 Ver Mapa")</f>
        <v>🔗 Ver Mapa</v>
      </c>
    </row>
    <row r="1698" spans="1:12" ht="43.5" x14ac:dyDescent="0.35">
      <c r="A1698" s="6" t="s">
        <v>8</v>
      </c>
      <c r="B1698" s="6" t="s">
        <v>16</v>
      </c>
      <c r="C1698" s="6" t="s">
        <v>280</v>
      </c>
      <c r="D1698" s="6" t="s">
        <v>35</v>
      </c>
      <c r="E1698" s="6" t="s">
        <v>128</v>
      </c>
      <c r="F1698" s="6" t="s">
        <v>166</v>
      </c>
      <c r="G1698" s="6" t="s">
        <v>261</v>
      </c>
      <c r="H1698" s="6" t="s">
        <v>281</v>
      </c>
      <c r="I1698" s="6" t="s">
        <v>63</v>
      </c>
      <c r="J1698" s="6">
        <v>17.282464999999998</v>
      </c>
      <c r="K1698" s="6">
        <v>-97.870735999999994</v>
      </c>
      <c r="L1698" s="6" t="str">
        <f>HYPERLINK("https://maps.google.com/?q=17.282465,-97.870735999999994", "🔗 Ver Mapa")</f>
        <v>🔗 Ver Mapa</v>
      </c>
    </row>
    <row r="1699" spans="1:12" ht="43.5" x14ac:dyDescent="0.35">
      <c r="A1699" s="5" t="s">
        <v>8</v>
      </c>
      <c r="B1699" s="5" t="s">
        <v>16</v>
      </c>
      <c r="C1699" s="5" t="s">
        <v>280</v>
      </c>
      <c r="D1699" s="5" t="s">
        <v>35</v>
      </c>
      <c r="E1699" s="5" t="s">
        <v>128</v>
      </c>
      <c r="F1699" s="5" t="s">
        <v>166</v>
      </c>
      <c r="G1699" s="5" t="s">
        <v>261</v>
      </c>
      <c r="H1699" s="5" t="s">
        <v>281</v>
      </c>
      <c r="I1699" s="5" t="s">
        <v>63</v>
      </c>
      <c r="J1699" s="5">
        <v>17.28537</v>
      </c>
      <c r="K1699" s="5">
        <v>-97.870664000000005</v>
      </c>
      <c r="L1699" s="5" t="str">
        <f>HYPERLINK("https://maps.google.com/?q=17.28537,-97.870664000000005", "🔗 Ver Mapa")</f>
        <v>🔗 Ver Mapa</v>
      </c>
    </row>
    <row r="1700" spans="1:12" ht="43.5" x14ac:dyDescent="0.35">
      <c r="A1700" s="6" t="s">
        <v>8</v>
      </c>
      <c r="B1700" s="6" t="s">
        <v>16</v>
      </c>
      <c r="C1700" s="6" t="s">
        <v>280</v>
      </c>
      <c r="D1700" s="6" t="s">
        <v>35</v>
      </c>
      <c r="E1700" s="6" t="s">
        <v>128</v>
      </c>
      <c r="F1700" s="6" t="s">
        <v>166</v>
      </c>
      <c r="G1700" s="6" t="s">
        <v>261</v>
      </c>
      <c r="H1700" s="6" t="s">
        <v>281</v>
      </c>
      <c r="I1700" s="6" t="s">
        <v>63</v>
      </c>
      <c r="J1700" s="6">
        <v>17.287285000000001</v>
      </c>
      <c r="K1700" s="6">
        <v>-97.868801000000005</v>
      </c>
      <c r="L1700" s="6" t="str">
        <f>HYPERLINK("https://maps.google.com/?q=17.287285,-97.868801000000005", "🔗 Ver Mapa")</f>
        <v>🔗 Ver Mapa</v>
      </c>
    </row>
    <row r="1701" spans="1:12" ht="43.5" x14ac:dyDescent="0.35">
      <c r="A1701" s="5" t="s">
        <v>8</v>
      </c>
      <c r="B1701" s="5" t="s">
        <v>16</v>
      </c>
      <c r="C1701" s="5" t="s">
        <v>282</v>
      </c>
      <c r="D1701" s="5" t="s">
        <v>35</v>
      </c>
      <c r="E1701" s="5" t="s">
        <v>128</v>
      </c>
      <c r="F1701" s="5" t="s">
        <v>166</v>
      </c>
      <c r="G1701" s="5" t="s">
        <v>261</v>
      </c>
      <c r="H1701" s="5" t="s">
        <v>283</v>
      </c>
      <c r="I1701" s="5" t="s">
        <v>63</v>
      </c>
      <c r="J1701" s="5">
        <v>17.309976672565998</v>
      </c>
      <c r="K1701" s="5">
        <v>-97.942257328870994</v>
      </c>
      <c r="L1701" s="5" t="str">
        <f>HYPERLINK("https://maps.google.com/?q=17.3099766725661,-97.942257328870795", "🔗 Ver Mapa")</f>
        <v>🔗 Ver Mapa</v>
      </c>
    </row>
    <row r="1702" spans="1:12" ht="43.5" x14ac:dyDescent="0.35">
      <c r="A1702" s="6" t="s">
        <v>8</v>
      </c>
      <c r="B1702" s="6" t="s">
        <v>16</v>
      </c>
      <c r="C1702" s="6" t="s">
        <v>282</v>
      </c>
      <c r="D1702" s="6" t="s">
        <v>35</v>
      </c>
      <c r="E1702" s="6" t="s">
        <v>128</v>
      </c>
      <c r="F1702" s="6" t="s">
        <v>166</v>
      </c>
      <c r="G1702" s="6" t="s">
        <v>261</v>
      </c>
      <c r="H1702" s="6" t="s">
        <v>283</v>
      </c>
      <c r="I1702" s="6" t="s">
        <v>63</v>
      </c>
      <c r="J1702" s="6">
        <v>17.309984994935999</v>
      </c>
      <c r="K1702" s="6">
        <v>-97.943088813665</v>
      </c>
      <c r="L1702" s="6" t="str">
        <f>HYPERLINK("https://maps.google.com/?q=17.3099849949355,-97.943088813665199", "🔗 Ver Mapa")</f>
        <v>🔗 Ver Mapa</v>
      </c>
    </row>
    <row r="1703" spans="1:12" ht="43.5" x14ac:dyDescent="0.35">
      <c r="A1703" s="5" t="s">
        <v>8</v>
      </c>
      <c r="B1703" s="5" t="s">
        <v>16</v>
      </c>
      <c r="C1703" s="5" t="s">
        <v>282</v>
      </c>
      <c r="D1703" s="5" t="s">
        <v>35</v>
      </c>
      <c r="E1703" s="5" t="s">
        <v>128</v>
      </c>
      <c r="F1703" s="5" t="s">
        <v>166</v>
      </c>
      <c r="G1703" s="5" t="s">
        <v>261</v>
      </c>
      <c r="H1703" s="5" t="s">
        <v>283</v>
      </c>
      <c r="I1703" s="5" t="s">
        <v>63</v>
      </c>
      <c r="J1703" s="5">
        <v>17.310356626507001</v>
      </c>
      <c r="K1703" s="5">
        <v>-97.943384896474001</v>
      </c>
      <c r="L1703" s="5" t="str">
        <f>HYPERLINK("https://maps.google.com/?q=17.310356626507,-97.943384896473802", "🔗 Ver Mapa")</f>
        <v>🔗 Ver Mapa</v>
      </c>
    </row>
    <row r="1704" spans="1:12" ht="43.5" x14ac:dyDescent="0.35">
      <c r="A1704" s="6" t="s">
        <v>8</v>
      </c>
      <c r="B1704" s="6" t="s">
        <v>16</v>
      </c>
      <c r="C1704" s="6" t="s">
        <v>282</v>
      </c>
      <c r="D1704" s="6" t="s">
        <v>35</v>
      </c>
      <c r="E1704" s="6" t="s">
        <v>128</v>
      </c>
      <c r="F1704" s="6" t="s">
        <v>166</v>
      </c>
      <c r="G1704" s="6" t="s">
        <v>261</v>
      </c>
      <c r="H1704" s="6" t="s">
        <v>283</v>
      </c>
      <c r="I1704" s="6" t="s">
        <v>63</v>
      </c>
      <c r="J1704" s="6">
        <v>17.310495134494001</v>
      </c>
      <c r="K1704" s="6">
        <v>-97.942373808008995</v>
      </c>
      <c r="L1704" s="6" t="str">
        <f>HYPERLINK("https://maps.google.com/?q=17.3104951344939,-97.942373808009293", "🔗 Ver Mapa")</f>
        <v>🔗 Ver Mapa</v>
      </c>
    </row>
    <row r="1705" spans="1:12" ht="43.5" x14ac:dyDescent="0.35">
      <c r="A1705" s="5" t="s">
        <v>8</v>
      </c>
      <c r="B1705" s="5" t="s">
        <v>16</v>
      </c>
      <c r="C1705" s="5" t="s">
        <v>282</v>
      </c>
      <c r="D1705" s="5" t="s">
        <v>35</v>
      </c>
      <c r="E1705" s="5" t="s">
        <v>128</v>
      </c>
      <c r="F1705" s="5" t="s">
        <v>166</v>
      </c>
      <c r="G1705" s="5" t="s">
        <v>261</v>
      </c>
      <c r="H1705" s="5" t="s">
        <v>283</v>
      </c>
      <c r="I1705" s="5" t="s">
        <v>63</v>
      </c>
      <c r="J1705" s="5">
        <v>17.311485762065001</v>
      </c>
      <c r="K1705" s="5">
        <v>-97.944024921460993</v>
      </c>
      <c r="L1705" s="5" t="str">
        <f>HYPERLINK("https://maps.google.com/?q=17.3114857620646,-97.944024921461093", "🔗 Ver Mapa")</f>
        <v>🔗 Ver Mapa</v>
      </c>
    </row>
    <row r="1706" spans="1:12" ht="43.5" x14ac:dyDescent="0.35">
      <c r="A1706" s="6" t="s">
        <v>8</v>
      </c>
      <c r="B1706" s="6" t="s">
        <v>16</v>
      </c>
      <c r="C1706" s="6" t="s">
        <v>282</v>
      </c>
      <c r="D1706" s="6" t="s">
        <v>35</v>
      </c>
      <c r="E1706" s="6" t="s">
        <v>128</v>
      </c>
      <c r="F1706" s="6" t="s">
        <v>166</v>
      </c>
      <c r="G1706" s="6" t="s">
        <v>261</v>
      </c>
      <c r="H1706" s="6" t="s">
        <v>283</v>
      </c>
      <c r="I1706" s="6" t="s">
        <v>63</v>
      </c>
      <c r="J1706" s="6">
        <v>17.313036404436001</v>
      </c>
      <c r="K1706" s="6">
        <v>-97.946304480986001</v>
      </c>
      <c r="L1706" s="6" t="str">
        <f>HYPERLINK("https://maps.google.com/?q=17.3130364044365,-97.946304480985603", "🔗 Ver Mapa")</f>
        <v>🔗 Ver Mapa</v>
      </c>
    </row>
    <row r="1707" spans="1:12" ht="43.5" x14ac:dyDescent="0.35">
      <c r="A1707" s="5" t="s">
        <v>8</v>
      </c>
      <c r="B1707" s="5" t="s">
        <v>16</v>
      </c>
      <c r="C1707" s="5" t="s">
        <v>282</v>
      </c>
      <c r="D1707" s="5" t="s">
        <v>35</v>
      </c>
      <c r="E1707" s="5" t="s">
        <v>128</v>
      </c>
      <c r="F1707" s="5" t="s">
        <v>166</v>
      </c>
      <c r="G1707" s="5" t="s">
        <v>261</v>
      </c>
      <c r="H1707" s="5" t="s">
        <v>283</v>
      </c>
      <c r="I1707" s="5" t="s">
        <v>63</v>
      </c>
      <c r="J1707" s="5">
        <v>17.313176190745999</v>
      </c>
      <c r="K1707" s="5">
        <v>-97.945954557042995</v>
      </c>
      <c r="L1707" s="5" t="str">
        <f>HYPERLINK("https://maps.google.com/?q=17.3131761907465,-97.945954557043095", "🔗 Ver Mapa")</f>
        <v>🔗 Ver Mapa</v>
      </c>
    </row>
    <row r="1708" spans="1:12" ht="43.5" x14ac:dyDescent="0.35">
      <c r="A1708" s="6" t="s">
        <v>8</v>
      </c>
      <c r="B1708" s="6" t="s">
        <v>16</v>
      </c>
      <c r="C1708" s="6" t="s">
        <v>284</v>
      </c>
      <c r="D1708" s="6" t="s">
        <v>35</v>
      </c>
      <c r="E1708" s="6" t="s">
        <v>128</v>
      </c>
      <c r="F1708" s="6" t="s">
        <v>166</v>
      </c>
      <c r="G1708" s="6" t="s">
        <v>261</v>
      </c>
      <c r="H1708" s="6" t="s">
        <v>285</v>
      </c>
      <c r="I1708" s="6" t="s">
        <v>63</v>
      </c>
      <c r="J1708" s="6">
        <v>17.337196882025001</v>
      </c>
      <c r="K1708" s="6">
        <v>-97.932215976687004</v>
      </c>
      <c r="L1708" s="6" t="str">
        <f>HYPERLINK("https://maps.google.com/?q=17.337196882025,-97.932215976686507", "🔗 Ver Mapa")</f>
        <v>🔗 Ver Mapa</v>
      </c>
    </row>
    <row r="1709" spans="1:12" ht="43.5" x14ac:dyDescent="0.35">
      <c r="A1709" s="5" t="s">
        <v>8</v>
      </c>
      <c r="B1709" s="5" t="s">
        <v>16</v>
      </c>
      <c r="C1709" s="5" t="s">
        <v>284</v>
      </c>
      <c r="D1709" s="5" t="s">
        <v>35</v>
      </c>
      <c r="E1709" s="5" t="s">
        <v>128</v>
      </c>
      <c r="F1709" s="5" t="s">
        <v>166</v>
      </c>
      <c r="G1709" s="5" t="s">
        <v>261</v>
      </c>
      <c r="H1709" s="5" t="s">
        <v>285</v>
      </c>
      <c r="I1709" s="5" t="s">
        <v>63</v>
      </c>
      <c r="J1709" s="5">
        <v>17.337921359999999</v>
      </c>
      <c r="K1709" s="5">
        <v>-97.930333660000002</v>
      </c>
      <c r="L1709" s="5" t="str">
        <f>HYPERLINK("https://maps.google.com/?q=17.33792136,-97.930333660000002", "🔗 Ver Mapa")</f>
        <v>🔗 Ver Mapa</v>
      </c>
    </row>
    <row r="1710" spans="1:12" ht="43.5" x14ac:dyDescent="0.35">
      <c r="A1710" s="6" t="s">
        <v>8</v>
      </c>
      <c r="B1710" s="6" t="s">
        <v>16</v>
      </c>
      <c r="C1710" s="6" t="s">
        <v>284</v>
      </c>
      <c r="D1710" s="6" t="s">
        <v>35</v>
      </c>
      <c r="E1710" s="6" t="s">
        <v>128</v>
      </c>
      <c r="F1710" s="6" t="s">
        <v>166</v>
      </c>
      <c r="G1710" s="6" t="s">
        <v>261</v>
      </c>
      <c r="H1710" s="6" t="s">
        <v>285</v>
      </c>
      <c r="I1710" s="6" t="s">
        <v>63</v>
      </c>
      <c r="J1710" s="6">
        <v>17.339126870000001</v>
      </c>
      <c r="K1710" s="6">
        <v>-97.932187060000004</v>
      </c>
      <c r="L1710" s="6" t="str">
        <f>HYPERLINK("https://maps.google.com/?q=17.33912687,-97.932187060000004", "🔗 Ver Mapa")</f>
        <v>🔗 Ver Mapa</v>
      </c>
    </row>
    <row r="1711" spans="1:12" ht="43.5" x14ac:dyDescent="0.35">
      <c r="A1711" s="5" t="s">
        <v>8</v>
      </c>
      <c r="B1711" s="5" t="s">
        <v>16</v>
      </c>
      <c r="C1711" s="5" t="s">
        <v>284</v>
      </c>
      <c r="D1711" s="5" t="s">
        <v>35</v>
      </c>
      <c r="E1711" s="5" t="s">
        <v>128</v>
      </c>
      <c r="F1711" s="5" t="s">
        <v>166</v>
      </c>
      <c r="G1711" s="5" t="s">
        <v>261</v>
      </c>
      <c r="H1711" s="5" t="s">
        <v>285</v>
      </c>
      <c r="I1711" s="5" t="s">
        <v>63</v>
      </c>
      <c r="J1711" s="5">
        <v>17.341058180000001</v>
      </c>
      <c r="K1711" s="5">
        <v>-97.930773239999994</v>
      </c>
      <c r="L1711" s="5" t="str">
        <f>HYPERLINK("https://maps.google.com/?q=17.34105818,-97.930773239999994", "🔗 Ver Mapa")</f>
        <v>🔗 Ver Mapa</v>
      </c>
    </row>
    <row r="1712" spans="1:12" ht="43.5" x14ac:dyDescent="0.35">
      <c r="A1712" s="6" t="s">
        <v>8</v>
      </c>
      <c r="B1712" s="6" t="s">
        <v>16</v>
      </c>
      <c r="C1712" s="6" t="s">
        <v>284</v>
      </c>
      <c r="D1712" s="6" t="s">
        <v>35</v>
      </c>
      <c r="E1712" s="6" t="s">
        <v>128</v>
      </c>
      <c r="F1712" s="6" t="s">
        <v>166</v>
      </c>
      <c r="G1712" s="6" t="s">
        <v>261</v>
      </c>
      <c r="H1712" s="6" t="s">
        <v>285</v>
      </c>
      <c r="I1712" s="6" t="s">
        <v>63</v>
      </c>
      <c r="J1712" s="6">
        <v>17.341257039999999</v>
      </c>
      <c r="K1712" s="6">
        <v>-97.929593370000006</v>
      </c>
      <c r="L1712" s="6" t="str">
        <f>HYPERLINK("https://maps.google.com/?q=17.34125704,-97.929593370000006", "🔗 Ver Mapa")</f>
        <v>🔗 Ver Mapa</v>
      </c>
    </row>
    <row r="1713" spans="1:12" ht="58" x14ac:dyDescent="0.35">
      <c r="A1713" s="5" t="s">
        <v>286</v>
      </c>
      <c r="B1713" s="5" t="s">
        <v>287</v>
      </c>
      <c r="C1713" s="5" t="s">
        <v>288</v>
      </c>
      <c r="D1713" s="5" t="s">
        <v>289</v>
      </c>
      <c r="E1713" s="5" t="s">
        <v>37</v>
      </c>
      <c r="F1713" s="5" t="s">
        <v>253</v>
      </c>
      <c r="G1713" s="5" t="s">
        <v>290</v>
      </c>
      <c r="H1713" s="5" t="s">
        <v>291</v>
      </c>
      <c r="I1713" s="5" t="s">
        <v>63</v>
      </c>
      <c r="J1713" s="5">
        <v>16.787254000000001</v>
      </c>
      <c r="K1713" s="5">
        <v>-96.793256999999997</v>
      </c>
      <c r="L1713" s="5" t="str">
        <f>HYPERLINK("https://maps.google.com/?q=16.787254,-96.793256999999997", "🔗 Ver Mapa")</f>
        <v>🔗 Ver Mapa</v>
      </c>
    </row>
    <row r="1714" spans="1:12" ht="58" x14ac:dyDescent="0.35">
      <c r="A1714" s="6" t="s">
        <v>286</v>
      </c>
      <c r="B1714" s="6" t="s">
        <v>287</v>
      </c>
      <c r="C1714" s="6" t="s">
        <v>288</v>
      </c>
      <c r="D1714" s="6" t="s">
        <v>289</v>
      </c>
      <c r="E1714" s="6" t="s">
        <v>37</v>
      </c>
      <c r="F1714" s="6" t="s">
        <v>253</v>
      </c>
      <c r="G1714" s="6" t="s">
        <v>290</v>
      </c>
      <c r="H1714" s="6" t="s">
        <v>291</v>
      </c>
      <c r="I1714" s="6" t="s">
        <v>63</v>
      </c>
      <c r="J1714" s="6">
        <v>16.787361000000001</v>
      </c>
      <c r="K1714" s="6">
        <v>-96.793087</v>
      </c>
      <c r="L1714" s="6" t="str">
        <f>HYPERLINK("https://maps.google.com/?q=16.787361,-96.793087", "🔗 Ver Mapa")</f>
        <v>🔗 Ver Mapa</v>
      </c>
    </row>
    <row r="1715" spans="1:12" ht="58" x14ac:dyDescent="0.35">
      <c r="A1715" s="5" t="s">
        <v>286</v>
      </c>
      <c r="B1715" s="5" t="s">
        <v>287</v>
      </c>
      <c r="C1715" s="5" t="s">
        <v>288</v>
      </c>
      <c r="D1715" s="5" t="s">
        <v>289</v>
      </c>
      <c r="E1715" s="5" t="s">
        <v>37</v>
      </c>
      <c r="F1715" s="5" t="s">
        <v>253</v>
      </c>
      <c r="G1715" s="5" t="s">
        <v>290</v>
      </c>
      <c r="H1715" s="5" t="s">
        <v>291</v>
      </c>
      <c r="I1715" s="5" t="s">
        <v>63</v>
      </c>
      <c r="J1715" s="5">
        <v>16.787476000000002</v>
      </c>
      <c r="K1715" s="5">
        <v>-96.792917000000003</v>
      </c>
      <c r="L1715" s="5" t="str">
        <f>HYPERLINK("https://maps.google.com/?q=16.787476,-96.792917000000003", "🔗 Ver Mapa")</f>
        <v>🔗 Ver Mapa</v>
      </c>
    </row>
    <row r="1716" spans="1:12" ht="58" x14ac:dyDescent="0.35">
      <c r="A1716" s="6" t="s">
        <v>286</v>
      </c>
      <c r="B1716" s="6" t="s">
        <v>287</v>
      </c>
      <c r="C1716" s="6" t="s">
        <v>288</v>
      </c>
      <c r="D1716" s="6" t="s">
        <v>289</v>
      </c>
      <c r="E1716" s="6" t="s">
        <v>37</v>
      </c>
      <c r="F1716" s="6" t="s">
        <v>253</v>
      </c>
      <c r="G1716" s="6" t="s">
        <v>290</v>
      </c>
      <c r="H1716" s="6" t="s">
        <v>291</v>
      </c>
      <c r="I1716" s="6" t="s">
        <v>63</v>
      </c>
      <c r="J1716" s="6">
        <v>16.787575</v>
      </c>
      <c r="K1716" s="6">
        <v>-96.792747000000006</v>
      </c>
      <c r="L1716" s="6" t="str">
        <f>HYPERLINK("https://maps.google.com/?q=16.787575,-96.792747000000006", "🔗 Ver Mapa")</f>
        <v>🔗 Ver Mapa</v>
      </c>
    </row>
    <row r="1717" spans="1:12" ht="58" x14ac:dyDescent="0.35">
      <c r="A1717" s="5" t="s">
        <v>286</v>
      </c>
      <c r="B1717" s="5" t="s">
        <v>287</v>
      </c>
      <c r="C1717" s="5" t="s">
        <v>288</v>
      </c>
      <c r="D1717" s="5" t="s">
        <v>289</v>
      </c>
      <c r="E1717" s="5" t="s">
        <v>37</v>
      </c>
      <c r="F1717" s="5" t="s">
        <v>253</v>
      </c>
      <c r="G1717" s="5" t="s">
        <v>290</v>
      </c>
      <c r="H1717" s="5" t="s">
        <v>291</v>
      </c>
      <c r="I1717" s="5" t="s">
        <v>63</v>
      </c>
      <c r="J1717" s="5">
        <v>16.787672000000001</v>
      </c>
      <c r="K1717" s="5">
        <v>-96.792558</v>
      </c>
      <c r="L1717" s="5" t="str">
        <f>HYPERLINK("https://maps.google.com/?q=16.787672,-96.792558", "🔗 Ver Mapa")</f>
        <v>🔗 Ver Mapa</v>
      </c>
    </row>
    <row r="1718" spans="1:12" ht="58" x14ac:dyDescent="0.35">
      <c r="A1718" s="6" t="s">
        <v>286</v>
      </c>
      <c r="B1718" s="6" t="s">
        <v>287</v>
      </c>
      <c r="C1718" s="6" t="s">
        <v>288</v>
      </c>
      <c r="D1718" s="6" t="s">
        <v>289</v>
      </c>
      <c r="E1718" s="6" t="s">
        <v>37</v>
      </c>
      <c r="F1718" s="6" t="s">
        <v>253</v>
      </c>
      <c r="G1718" s="6" t="s">
        <v>290</v>
      </c>
      <c r="H1718" s="6" t="s">
        <v>291</v>
      </c>
      <c r="I1718" s="6" t="s">
        <v>63</v>
      </c>
      <c r="J1718" s="6">
        <v>16.787769000000001</v>
      </c>
      <c r="K1718" s="6">
        <v>-96.792377999999999</v>
      </c>
      <c r="L1718" s="6" t="str">
        <f>HYPERLINK("https://maps.google.com/?q=16.787769,-96.792377999999999", "🔗 Ver Mapa")</f>
        <v>🔗 Ver Mapa</v>
      </c>
    </row>
    <row r="1719" spans="1:12" ht="58" x14ac:dyDescent="0.35">
      <c r="A1719" s="5" t="s">
        <v>286</v>
      </c>
      <c r="B1719" s="5" t="s">
        <v>287</v>
      </c>
      <c r="C1719" s="5" t="s">
        <v>288</v>
      </c>
      <c r="D1719" s="5" t="s">
        <v>289</v>
      </c>
      <c r="E1719" s="5" t="s">
        <v>37</v>
      </c>
      <c r="F1719" s="5" t="s">
        <v>253</v>
      </c>
      <c r="G1719" s="5" t="s">
        <v>290</v>
      </c>
      <c r="H1719" s="5" t="s">
        <v>291</v>
      </c>
      <c r="I1719" s="5" t="s">
        <v>63</v>
      </c>
      <c r="J1719" s="5">
        <v>16.787876000000001</v>
      </c>
      <c r="K1719" s="5">
        <v>-96.792209</v>
      </c>
      <c r="L1719" s="5" t="str">
        <f>HYPERLINK("https://maps.google.com/?q=16.787876,-96.792209", "🔗 Ver Mapa")</f>
        <v>🔗 Ver Mapa</v>
      </c>
    </row>
    <row r="1720" spans="1:12" ht="58" x14ac:dyDescent="0.35">
      <c r="A1720" s="6" t="s">
        <v>286</v>
      </c>
      <c r="B1720" s="6" t="s">
        <v>287</v>
      </c>
      <c r="C1720" s="6" t="s">
        <v>288</v>
      </c>
      <c r="D1720" s="6" t="s">
        <v>289</v>
      </c>
      <c r="E1720" s="6" t="s">
        <v>37</v>
      </c>
      <c r="F1720" s="6" t="s">
        <v>253</v>
      </c>
      <c r="G1720" s="6" t="s">
        <v>290</v>
      </c>
      <c r="H1720" s="6" t="s">
        <v>291</v>
      </c>
      <c r="I1720" s="6" t="s">
        <v>63</v>
      </c>
      <c r="J1720" s="6">
        <v>16.787955</v>
      </c>
      <c r="K1720" s="6">
        <v>-96.792011000000002</v>
      </c>
      <c r="L1720" s="6" t="str">
        <f>HYPERLINK("https://maps.google.com/?q=16.787955,-96.792011000000002", "🔗 Ver Mapa")</f>
        <v>🔗 Ver Mapa</v>
      </c>
    </row>
    <row r="1721" spans="1:12" ht="58" x14ac:dyDescent="0.35">
      <c r="A1721" s="5" t="s">
        <v>286</v>
      </c>
      <c r="B1721" s="5" t="s">
        <v>287</v>
      </c>
      <c r="C1721" s="5" t="s">
        <v>288</v>
      </c>
      <c r="D1721" s="5" t="s">
        <v>289</v>
      </c>
      <c r="E1721" s="5" t="s">
        <v>37</v>
      </c>
      <c r="F1721" s="5" t="s">
        <v>253</v>
      </c>
      <c r="G1721" s="5" t="s">
        <v>290</v>
      </c>
      <c r="H1721" s="5" t="s">
        <v>291</v>
      </c>
      <c r="I1721" s="5" t="s">
        <v>63</v>
      </c>
      <c r="J1721" s="5">
        <v>16.788034</v>
      </c>
      <c r="K1721" s="5">
        <v>-96.791821999999996</v>
      </c>
      <c r="L1721" s="5" t="str">
        <f>HYPERLINK("https://maps.google.com/?q=16.788034,-96.791821999999996", "🔗 Ver Mapa")</f>
        <v>🔗 Ver Mapa</v>
      </c>
    </row>
    <row r="1722" spans="1:12" ht="58" x14ac:dyDescent="0.35">
      <c r="A1722" s="6" t="s">
        <v>286</v>
      </c>
      <c r="B1722" s="6" t="s">
        <v>287</v>
      </c>
      <c r="C1722" s="6" t="s">
        <v>288</v>
      </c>
      <c r="D1722" s="6" t="s">
        <v>289</v>
      </c>
      <c r="E1722" s="6" t="s">
        <v>37</v>
      </c>
      <c r="F1722" s="6" t="s">
        <v>253</v>
      </c>
      <c r="G1722" s="6" t="s">
        <v>290</v>
      </c>
      <c r="H1722" s="6" t="s">
        <v>291</v>
      </c>
      <c r="I1722" s="6" t="s">
        <v>63</v>
      </c>
      <c r="J1722" s="6">
        <v>16.788105000000002</v>
      </c>
      <c r="K1722" s="6">
        <v>-96.791634000000002</v>
      </c>
      <c r="L1722" s="6" t="str">
        <f>HYPERLINK("https://maps.google.com/?q=16.788105,-96.791634000000002", "🔗 Ver Mapa")</f>
        <v>🔗 Ver Mapa</v>
      </c>
    </row>
    <row r="1723" spans="1:12" ht="58" x14ac:dyDescent="0.35">
      <c r="A1723" s="5" t="s">
        <v>286</v>
      </c>
      <c r="B1723" s="5" t="s">
        <v>287</v>
      </c>
      <c r="C1723" s="5" t="s">
        <v>288</v>
      </c>
      <c r="D1723" s="5" t="s">
        <v>289</v>
      </c>
      <c r="E1723" s="5" t="s">
        <v>37</v>
      </c>
      <c r="F1723" s="5" t="s">
        <v>253</v>
      </c>
      <c r="G1723" s="5" t="s">
        <v>290</v>
      </c>
      <c r="H1723" s="5" t="s">
        <v>291</v>
      </c>
      <c r="I1723" s="5" t="s">
        <v>63</v>
      </c>
      <c r="J1723" s="5">
        <v>16.788212000000001</v>
      </c>
      <c r="K1723" s="5">
        <v>-96.791490999999994</v>
      </c>
      <c r="L1723" s="5" t="str">
        <f>HYPERLINK("https://maps.google.com/?q=16.788212,-96.791490999999994", "🔗 Ver Mapa")</f>
        <v>🔗 Ver Mapa</v>
      </c>
    </row>
    <row r="1724" spans="1:12" ht="58" x14ac:dyDescent="0.35">
      <c r="A1724" s="6" t="s">
        <v>286</v>
      </c>
      <c r="B1724" s="6" t="s">
        <v>287</v>
      </c>
      <c r="C1724" s="6" t="s">
        <v>288</v>
      </c>
      <c r="D1724" s="6" t="s">
        <v>289</v>
      </c>
      <c r="E1724" s="6" t="s">
        <v>37</v>
      </c>
      <c r="F1724" s="6" t="s">
        <v>253</v>
      </c>
      <c r="G1724" s="6" t="s">
        <v>290</v>
      </c>
      <c r="H1724" s="6" t="s">
        <v>291</v>
      </c>
      <c r="I1724" s="6" t="s">
        <v>63</v>
      </c>
      <c r="J1724" s="6">
        <v>16.788264999999999</v>
      </c>
      <c r="K1724" s="6">
        <v>-96.791354999999996</v>
      </c>
      <c r="L1724" s="6" t="str">
        <f>HYPERLINK("https://maps.google.com/?q=16.788265,-96.791354999999996", "🔗 Ver Mapa")</f>
        <v>🔗 Ver Mapa</v>
      </c>
    </row>
    <row r="1725" spans="1:12" ht="58" x14ac:dyDescent="0.35">
      <c r="A1725" s="5" t="s">
        <v>286</v>
      </c>
      <c r="B1725" s="5" t="s">
        <v>287</v>
      </c>
      <c r="C1725" s="5" t="s">
        <v>288</v>
      </c>
      <c r="D1725" s="5" t="s">
        <v>289</v>
      </c>
      <c r="E1725" s="5" t="s">
        <v>37</v>
      </c>
      <c r="F1725" s="5" t="s">
        <v>253</v>
      </c>
      <c r="G1725" s="5" t="s">
        <v>290</v>
      </c>
      <c r="H1725" s="5" t="s">
        <v>291</v>
      </c>
      <c r="I1725" s="5" t="s">
        <v>63</v>
      </c>
      <c r="J1725" s="5">
        <v>16.788328</v>
      </c>
      <c r="K1725" s="5">
        <v>-96.791228000000004</v>
      </c>
      <c r="L1725" s="5" t="str">
        <f>HYPERLINK("https://maps.google.com/?q=16.788328,-96.791228000000004", "🔗 Ver Mapa")</f>
        <v>🔗 Ver Mapa</v>
      </c>
    </row>
    <row r="1726" spans="1:12" ht="58" x14ac:dyDescent="0.35">
      <c r="A1726" s="6" t="s">
        <v>286</v>
      </c>
      <c r="B1726" s="6" t="s">
        <v>287</v>
      </c>
      <c r="C1726" s="6" t="s">
        <v>288</v>
      </c>
      <c r="D1726" s="6" t="s">
        <v>289</v>
      </c>
      <c r="E1726" s="6" t="s">
        <v>37</v>
      </c>
      <c r="F1726" s="6" t="s">
        <v>253</v>
      </c>
      <c r="G1726" s="6" t="s">
        <v>290</v>
      </c>
      <c r="H1726" s="6" t="s">
        <v>291</v>
      </c>
      <c r="I1726" s="6" t="s">
        <v>63</v>
      </c>
      <c r="J1726" s="6">
        <v>16.788395999999999</v>
      </c>
      <c r="K1726" s="6">
        <v>-96.791098000000005</v>
      </c>
      <c r="L1726" s="6" t="str">
        <f>HYPERLINK("https://maps.google.com/?q=16.788396,-96.791098000000005", "🔗 Ver Mapa")</f>
        <v>🔗 Ver Mapa</v>
      </c>
    </row>
    <row r="1727" spans="1:12" ht="58" x14ac:dyDescent="0.35">
      <c r="A1727" s="5" t="s">
        <v>286</v>
      </c>
      <c r="B1727" s="5" t="s">
        <v>287</v>
      </c>
      <c r="C1727" s="5" t="s">
        <v>288</v>
      </c>
      <c r="D1727" s="5" t="s">
        <v>289</v>
      </c>
      <c r="E1727" s="5" t="s">
        <v>37</v>
      </c>
      <c r="F1727" s="5" t="s">
        <v>253</v>
      </c>
      <c r="G1727" s="5" t="s">
        <v>290</v>
      </c>
      <c r="H1727" s="5" t="s">
        <v>291</v>
      </c>
      <c r="I1727" s="5" t="s">
        <v>63</v>
      </c>
      <c r="J1727" s="5">
        <v>16.788447000000001</v>
      </c>
      <c r="K1727" s="5">
        <v>-96.790976999999998</v>
      </c>
      <c r="L1727" s="5" t="str">
        <f>HYPERLINK("https://maps.google.com/?q=16.788447,-96.790976999999998", "🔗 Ver Mapa")</f>
        <v>🔗 Ver Mapa</v>
      </c>
    </row>
    <row r="1728" spans="1:12" ht="58" x14ac:dyDescent="0.35">
      <c r="A1728" s="6" t="s">
        <v>286</v>
      </c>
      <c r="B1728" s="6" t="s">
        <v>287</v>
      </c>
      <c r="C1728" s="6" t="s">
        <v>288</v>
      </c>
      <c r="D1728" s="6" t="s">
        <v>289</v>
      </c>
      <c r="E1728" s="6" t="s">
        <v>37</v>
      </c>
      <c r="F1728" s="6" t="s">
        <v>253</v>
      </c>
      <c r="G1728" s="6" t="s">
        <v>290</v>
      </c>
      <c r="H1728" s="6" t="s">
        <v>291</v>
      </c>
      <c r="I1728" s="6" t="s">
        <v>63</v>
      </c>
      <c r="J1728" s="6">
        <v>16.788501</v>
      </c>
      <c r="K1728" s="6">
        <v>-96.790858</v>
      </c>
      <c r="L1728" s="6" t="str">
        <f>HYPERLINK("https://maps.google.com/?q=16.788501,-96.790858", "🔗 Ver Mapa")</f>
        <v>🔗 Ver Mapa</v>
      </c>
    </row>
    <row r="1729" spans="1:12" ht="58" x14ac:dyDescent="0.35">
      <c r="A1729" s="5" t="s">
        <v>286</v>
      </c>
      <c r="B1729" s="5" t="s">
        <v>287</v>
      </c>
      <c r="C1729" s="5" t="s">
        <v>288</v>
      </c>
      <c r="D1729" s="5" t="s">
        <v>289</v>
      </c>
      <c r="E1729" s="5" t="s">
        <v>37</v>
      </c>
      <c r="F1729" s="5" t="s">
        <v>253</v>
      </c>
      <c r="G1729" s="5" t="s">
        <v>290</v>
      </c>
      <c r="H1729" s="5" t="s">
        <v>291</v>
      </c>
      <c r="I1729" s="5" t="s">
        <v>63</v>
      </c>
      <c r="J1729" s="5">
        <v>16.788561000000001</v>
      </c>
      <c r="K1729" s="5">
        <v>-96.790728999999999</v>
      </c>
      <c r="L1729" s="5" t="str">
        <f>HYPERLINK("https://maps.google.com/?q=16.788561,-96.790728999999999", "🔗 Ver Mapa")</f>
        <v>🔗 Ver Mapa</v>
      </c>
    </row>
    <row r="1730" spans="1:12" ht="58" x14ac:dyDescent="0.35">
      <c r="A1730" s="6" t="s">
        <v>286</v>
      </c>
      <c r="B1730" s="6" t="s">
        <v>287</v>
      </c>
      <c r="C1730" s="6" t="s">
        <v>288</v>
      </c>
      <c r="D1730" s="6" t="s">
        <v>289</v>
      </c>
      <c r="E1730" s="6" t="s">
        <v>37</v>
      </c>
      <c r="F1730" s="6" t="s">
        <v>253</v>
      </c>
      <c r="G1730" s="6" t="s">
        <v>290</v>
      </c>
      <c r="H1730" s="6" t="s">
        <v>291</v>
      </c>
      <c r="I1730" s="6" t="s">
        <v>63</v>
      </c>
      <c r="J1730" s="6">
        <v>16.789584000000001</v>
      </c>
      <c r="K1730" s="6">
        <v>-96.784780999999995</v>
      </c>
      <c r="L1730" s="6" t="str">
        <f>HYPERLINK("https://maps.google.com/?q=16.789584,-96.784780999999995", "🔗 Ver Mapa")</f>
        <v>🔗 Ver Mapa</v>
      </c>
    </row>
    <row r="1731" spans="1:12" ht="58" x14ac:dyDescent="0.35">
      <c r="A1731" s="5" t="s">
        <v>286</v>
      </c>
      <c r="B1731" s="5" t="s">
        <v>287</v>
      </c>
      <c r="C1731" s="5" t="s">
        <v>288</v>
      </c>
      <c r="D1731" s="5" t="s">
        <v>289</v>
      </c>
      <c r="E1731" s="5" t="s">
        <v>37</v>
      </c>
      <c r="F1731" s="5" t="s">
        <v>253</v>
      </c>
      <c r="G1731" s="5" t="s">
        <v>290</v>
      </c>
      <c r="H1731" s="5" t="s">
        <v>291</v>
      </c>
      <c r="I1731" s="5" t="s">
        <v>63</v>
      </c>
      <c r="J1731" s="5">
        <v>16.789783</v>
      </c>
      <c r="K1731" s="5">
        <v>-96.784711999999999</v>
      </c>
      <c r="L1731" s="5" t="str">
        <f>HYPERLINK("https://maps.google.com/?q=16.789783,-96.784711999999999", "🔗 Ver Mapa")</f>
        <v>🔗 Ver Mapa</v>
      </c>
    </row>
    <row r="1732" spans="1:12" ht="58" x14ac:dyDescent="0.35">
      <c r="A1732" s="6" t="s">
        <v>286</v>
      </c>
      <c r="B1732" s="6" t="s">
        <v>287</v>
      </c>
      <c r="C1732" s="6" t="s">
        <v>288</v>
      </c>
      <c r="D1732" s="6" t="s">
        <v>289</v>
      </c>
      <c r="E1732" s="6" t="s">
        <v>37</v>
      </c>
      <c r="F1732" s="6" t="s">
        <v>253</v>
      </c>
      <c r="G1732" s="6" t="s">
        <v>290</v>
      </c>
      <c r="H1732" s="6" t="s">
        <v>291</v>
      </c>
      <c r="I1732" s="6" t="s">
        <v>63</v>
      </c>
      <c r="J1732" s="6">
        <v>16.789971000000001</v>
      </c>
      <c r="K1732" s="6">
        <v>-96.784644</v>
      </c>
      <c r="L1732" s="6" t="str">
        <f>HYPERLINK("https://maps.google.com/?q=16.789971,-96.784644", "🔗 Ver Mapa")</f>
        <v>🔗 Ver Mapa</v>
      </c>
    </row>
    <row r="1733" spans="1:12" ht="58" x14ac:dyDescent="0.35">
      <c r="A1733" s="5" t="s">
        <v>286</v>
      </c>
      <c r="B1733" s="5" t="s">
        <v>287</v>
      </c>
      <c r="C1733" s="5" t="s">
        <v>288</v>
      </c>
      <c r="D1733" s="5" t="s">
        <v>289</v>
      </c>
      <c r="E1733" s="5" t="s">
        <v>37</v>
      </c>
      <c r="F1733" s="5" t="s">
        <v>253</v>
      </c>
      <c r="G1733" s="5" t="s">
        <v>290</v>
      </c>
      <c r="H1733" s="5" t="s">
        <v>291</v>
      </c>
      <c r="I1733" s="5" t="s">
        <v>63</v>
      </c>
      <c r="J1733" s="5">
        <v>16.790171000000001</v>
      </c>
      <c r="K1733" s="5">
        <v>-96.784576000000001</v>
      </c>
      <c r="L1733" s="5" t="str">
        <f>HYPERLINK("https://maps.google.com/?q=16.790171,-96.784576000000001", "🔗 Ver Mapa")</f>
        <v>🔗 Ver Mapa</v>
      </c>
    </row>
    <row r="1734" spans="1:12" ht="58" x14ac:dyDescent="0.35">
      <c r="A1734" s="6" t="s">
        <v>286</v>
      </c>
      <c r="B1734" s="6" t="s">
        <v>287</v>
      </c>
      <c r="C1734" s="6" t="s">
        <v>292</v>
      </c>
      <c r="D1734" s="6" t="s">
        <v>289</v>
      </c>
      <c r="E1734" s="6" t="s">
        <v>293</v>
      </c>
      <c r="F1734" s="6" t="s">
        <v>294</v>
      </c>
      <c r="G1734" s="6" t="s">
        <v>295</v>
      </c>
      <c r="H1734" s="6" t="s">
        <v>296</v>
      </c>
      <c r="I1734" s="6" t="s">
        <v>63</v>
      </c>
      <c r="J1734" s="6">
        <v>16.327512842798999</v>
      </c>
      <c r="K1734" s="6">
        <v>-96.586345393848006</v>
      </c>
      <c r="L1734" s="6" t="str">
        <f>HYPERLINK("https://maps.google.com/?q=16.327512842799102,-96.58634539384842", "🔗 Ver Mapa")</f>
        <v>🔗 Ver Mapa</v>
      </c>
    </row>
    <row r="1735" spans="1:12" ht="58" x14ac:dyDescent="0.35">
      <c r="A1735" s="5" t="s">
        <v>286</v>
      </c>
      <c r="B1735" s="5" t="s">
        <v>287</v>
      </c>
      <c r="C1735" s="5" t="s">
        <v>292</v>
      </c>
      <c r="D1735" s="5" t="s">
        <v>289</v>
      </c>
      <c r="E1735" s="5" t="s">
        <v>293</v>
      </c>
      <c r="F1735" s="5" t="s">
        <v>294</v>
      </c>
      <c r="G1735" s="5" t="s">
        <v>295</v>
      </c>
      <c r="H1735" s="5" t="s">
        <v>296</v>
      </c>
      <c r="I1735" s="5" t="s">
        <v>63</v>
      </c>
      <c r="J1735" s="5">
        <v>16.327525999999999</v>
      </c>
      <c r="K1735" s="5">
        <v>-96.585187000000005</v>
      </c>
      <c r="L1735" s="5" t="str">
        <f>HYPERLINK("https://maps.google.com/?q=16.327526,-96.585187000000005", "🔗 Ver Mapa")</f>
        <v>🔗 Ver Mapa</v>
      </c>
    </row>
    <row r="1736" spans="1:12" ht="58" x14ac:dyDescent="0.35">
      <c r="A1736" s="6" t="s">
        <v>286</v>
      </c>
      <c r="B1736" s="6" t="s">
        <v>287</v>
      </c>
      <c r="C1736" s="6" t="s">
        <v>292</v>
      </c>
      <c r="D1736" s="6" t="s">
        <v>289</v>
      </c>
      <c r="E1736" s="6" t="s">
        <v>293</v>
      </c>
      <c r="F1736" s="6" t="s">
        <v>294</v>
      </c>
      <c r="G1736" s="6" t="s">
        <v>295</v>
      </c>
      <c r="H1736" s="6" t="s">
        <v>296</v>
      </c>
      <c r="I1736" s="6" t="s">
        <v>63</v>
      </c>
      <c r="J1736" s="6">
        <v>16.327527</v>
      </c>
      <c r="K1736" s="6">
        <v>-96.586449999999999</v>
      </c>
      <c r="L1736" s="6" t="str">
        <f>HYPERLINK("https://maps.google.com/?q=16.327527,-96.586449999999999", "🔗 Ver Mapa")</f>
        <v>🔗 Ver Mapa</v>
      </c>
    </row>
    <row r="1737" spans="1:12" ht="58" x14ac:dyDescent="0.35">
      <c r="A1737" s="5" t="s">
        <v>286</v>
      </c>
      <c r="B1737" s="5" t="s">
        <v>287</v>
      </c>
      <c r="C1737" s="5" t="s">
        <v>292</v>
      </c>
      <c r="D1737" s="5" t="s">
        <v>289</v>
      </c>
      <c r="E1737" s="5" t="s">
        <v>293</v>
      </c>
      <c r="F1737" s="5" t="s">
        <v>294</v>
      </c>
      <c r="G1737" s="5" t="s">
        <v>295</v>
      </c>
      <c r="H1737" s="5" t="s">
        <v>296</v>
      </c>
      <c r="I1737" s="5" t="s">
        <v>63</v>
      </c>
      <c r="J1737" s="5">
        <v>16.327528999999998</v>
      </c>
      <c r="K1737" s="5">
        <v>-96.585717000000002</v>
      </c>
      <c r="L1737" s="5" t="str">
        <f>HYPERLINK("https://maps.google.com/?q=16.327529,-96.585717000000002", "🔗 Ver Mapa")</f>
        <v>🔗 Ver Mapa</v>
      </c>
    </row>
    <row r="1738" spans="1:12" ht="58" x14ac:dyDescent="0.35">
      <c r="A1738" s="6" t="s">
        <v>286</v>
      </c>
      <c r="B1738" s="6" t="s">
        <v>287</v>
      </c>
      <c r="C1738" s="6" t="s">
        <v>292</v>
      </c>
      <c r="D1738" s="6" t="s">
        <v>289</v>
      </c>
      <c r="E1738" s="6" t="s">
        <v>293</v>
      </c>
      <c r="F1738" s="6" t="s">
        <v>294</v>
      </c>
      <c r="G1738" s="6" t="s">
        <v>295</v>
      </c>
      <c r="H1738" s="6" t="s">
        <v>296</v>
      </c>
      <c r="I1738" s="6" t="s">
        <v>63</v>
      </c>
      <c r="J1738" s="6">
        <v>16.327762425966998</v>
      </c>
      <c r="K1738" s="6">
        <v>-96.586398813491996</v>
      </c>
      <c r="L1738" s="6" t="str">
        <f>HYPERLINK("https://maps.google.com/?q=16.327762425966696,-96.58639881349183", "🔗 Ver Mapa")</f>
        <v>🔗 Ver Mapa</v>
      </c>
    </row>
    <row r="1739" spans="1:12" ht="58" x14ac:dyDescent="0.35">
      <c r="A1739" s="5" t="s">
        <v>286</v>
      </c>
      <c r="B1739" s="5" t="s">
        <v>287</v>
      </c>
      <c r="C1739" s="5" t="s">
        <v>292</v>
      </c>
      <c r="D1739" s="5" t="s">
        <v>289</v>
      </c>
      <c r="E1739" s="5" t="s">
        <v>293</v>
      </c>
      <c r="F1739" s="5" t="s">
        <v>294</v>
      </c>
      <c r="G1739" s="5" t="s">
        <v>295</v>
      </c>
      <c r="H1739" s="5" t="s">
        <v>296</v>
      </c>
      <c r="I1739" s="5" t="s">
        <v>63</v>
      </c>
      <c r="J1739" s="5">
        <v>16.327956564922999</v>
      </c>
      <c r="K1739" s="5">
        <v>-96.586340813492001</v>
      </c>
      <c r="L1739" s="5" t="str">
        <f>HYPERLINK("https://maps.google.com/?q=16.327956564923163,-96.58634081349183", "🔗 Ver Mapa")</f>
        <v>🔗 Ver Mapa</v>
      </c>
    </row>
    <row r="1740" spans="1:12" ht="58" x14ac:dyDescent="0.35">
      <c r="A1740" s="6" t="s">
        <v>286</v>
      </c>
      <c r="B1740" s="6" t="s">
        <v>287</v>
      </c>
      <c r="C1740" s="6" t="s">
        <v>292</v>
      </c>
      <c r="D1740" s="6" t="s">
        <v>289</v>
      </c>
      <c r="E1740" s="6" t="s">
        <v>293</v>
      </c>
      <c r="F1740" s="6" t="s">
        <v>294</v>
      </c>
      <c r="G1740" s="6" t="s">
        <v>295</v>
      </c>
      <c r="H1740" s="6" t="s">
        <v>296</v>
      </c>
      <c r="I1740" s="6" t="s">
        <v>63</v>
      </c>
      <c r="J1740" s="6">
        <v>16.328509</v>
      </c>
      <c r="K1740" s="6">
        <v>-96.586693449074005</v>
      </c>
      <c r="L1740" s="6" t="str">
        <f>HYPERLINK("https://maps.google.com/?q=16.32850900000001,-96.5866934490738", "🔗 Ver Mapa")</f>
        <v>🔗 Ver Mapa</v>
      </c>
    </row>
    <row r="1741" spans="1:12" ht="58" x14ac:dyDescent="0.35">
      <c r="A1741" s="5" t="s">
        <v>286</v>
      </c>
      <c r="B1741" s="5" t="s">
        <v>287</v>
      </c>
      <c r="C1741" s="5" t="s">
        <v>292</v>
      </c>
      <c r="D1741" s="5" t="s">
        <v>289</v>
      </c>
      <c r="E1741" s="5" t="s">
        <v>293</v>
      </c>
      <c r="F1741" s="5" t="s">
        <v>294</v>
      </c>
      <c r="G1741" s="5" t="s">
        <v>295</v>
      </c>
      <c r="H1741" s="5" t="s">
        <v>296</v>
      </c>
      <c r="I1741" s="5" t="s">
        <v>63</v>
      </c>
      <c r="J1741" s="5">
        <v>16.328797722059001</v>
      </c>
      <c r="K1741" s="5">
        <v>-96.586770038029002</v>
      </c>
      <c r="L1741" s="5" t="str">
        <f>HYPERLINK("https://maps.google.com/?q=16.32879772205927,-96.58677003802872", "🔗 Ver Mapa")</f>
        <v>🔗 Ver Mapa</v>
      </c>
    </row>
    <row r="1742" spans="1:12" ht="58" x14ac:dyDescent="0.35">
      <c r="A1742" s="6" t="s">
        <v>286</v>
      </c>
      <c r="B1742" s="6" t="s">
        <v>287</v>
      </c>
      <c r="C1742" s="6" t="s">
        <v>292</v>
      </c>
      <c r="D1742" s="6" t="s">
        <v>289</v>
      </c>
      <c r="E1742" s="6" t="s">
        <v>293</v>
      </c>
      <c r="F1742" s="6" t="s">
        <v>294</v>
      </c>
      <c r="G1742" s="6" t="s">
        <v>295</v>
      </c>
      <c r="H1742" s="6" t="s">
        <v>296</v>
      </c>
      <c r="I1742" s="6" t="s">
        <v>63</v>
      </c>
      <c r="J1742" s="6">
        <v>16.329056999999999</v>
      </c>
      <c r="K1742" s="6">
        <v>-96.587304000000003</v>
      </c>
      <c r="L1742" s="6" t="str">
        <f>HYPERLINK("https://maps.google.com/?q=16.329057,-96.587304000000003", "🔗 Ver Mapa")</f>
        <v>🔗 Ver Mapa</v>
      </c>
    </row>
    <row r="1743" spans="1:12" ht="58" x14ac:dyDescent="0.35">
      <c r="A1743" s="5" t="s">
        <v>286</v>
      </c>
      <c r="B1743" s="5" t="s">
        <v>287</v>
      </c>
      <c r="C1743" s="5" t="s">
        <v>292</v>
      </c>
      <c r="D1743" s="5" t="s">
        <v>289</v>
      </c>
      <c r="E1743" s="5" t="s">
        <v>293</v>
      </c>
      <c r="F1743" s="5" t="s">
        <v>294</v>
      </c>
      <c r="G1743" s="5" t="s">
        <v>295</v>
      </c>
      <c r="H1743" s="5" t="s">
        <v>296</v>
      </c>
      <c r="I1743" s="5" t="s">
        <v>63</v>
      </c>
      <c r="J1743" s="5">
        <v>16.329091999999999</v>
      </c>
      <c r="K1743" s="5">
        <v>-96.587219000000005</v>
      </c>
      <c r="L1743" s="5" t="str">
        <f>HYPERLINK("https://maps.google.com/?q=16.329092,-96.587219000000005", "🔗 Ver Mapa")</f>
        <v>🔗 Ver Mapa</v>
      </c>
    </row>
    <row r="1744" spans="1:12" ht="58" x14ac:dyDescent="0.35">
      <c r="A1744" s="6" t="s">
        <v>286</v>
      </c>
      <c r="B1744" s="6" t="s">
        <v>287</v>
      </c>
      <c r="C1744" s="6" t="s">
        <v>292</v>
      </c>
      <c r="D1744" s="6" t="s">
        <v>289</v>
      </c>
      <c r="E1744" s="6" t="s">
        <v>293</v>
      </c>
      <c r="F1744" s="6" t="s">
        <v>294</v>
      </c>
      <c r="G1744" s="6" t="s">
        <v>295</v>
      </c>
      <c r="H1744" s="6" t="s">
        <v>296</v>
      </c>
      <c r="I1744" s="6" t="s">
        <v>63</v>
      </c>
      <c r="J1744" s="6">
        <v>16.32911</v>
      </c>
      <c r="K1744" s="6">
        <v>-96.587143999999995</v>
      </c>
      <c r="L1744" s="6" t="str">
        <f>HYPERLINK("https://maps.google.com/?q=16.32911,-96.587143999999995", "🔗 Ver Mapa")</f>
        <v>🔗 Ver Mapa</v>
      </c>
    </row>
    <row r="1745" spans="1:12" ht="58" x14ac:dyDescent="0.35">
      <c r="A1745" s="5" t="s">
        <v>286</v>
      </c>
      <c r="B1745" s="5" t="s">
        <v>287</v>
      </c>
      <c r="C1745" s="5" t="s">
        <v>292</v>
      </c>
      <c r="D1745" s="5" t="s">
        <v>289</v>
      </c>
      <c r="E1745" s="5" t="s">
        <v>293</v>
      </c>
      <c r="F1745" s="5" t="s">
        <v>294</v>
      </c>
      <c r="G1745" s="5" t="s">
        <v>295</v>
      </c>
      <c r="H1745" s="5" t="s">
        <v>296</v>
      </c>
      <c r="I1745" s="5" t="s">
        <v>63</v>
      </c>
      <c r="J1745" s="5">
        <v>16.329145574015001</v>
      </c>
      <c r="K1745" s="5">
        <v>-96.586840487103004</v>
      </c>
      <c r="L1745" s="5" t="str">
        <f>HYPERLINK("https://maps.google.com/?q=16.329145574015154,-96.5868404871025", "🔗 Ver Mapa")</f>
        <v>🔗 Ver Mapa</v>
      </c>
    </row>
    <row r="1746" spans="1:12" ht="58" x14ac:dyDescent="0.35">
      <c r="A1746" s="6" t="s">
        <v>286</v>
      </c>
      <c r="B1746" s="6" t="s">
        <v>287</v>
      </c>
      <c r="C1746" s="6" t="s">
        <v>292</v>
      </c>
      <c r="D1746" s="6" t="s">
        <v>289</v>
      </c>
      <c r="E1746" s="6" t="s">
        <v>293</v>
      </c>
      <c r="F1746" s="6" t="s">
        <v>294</v>
      </c>
      <c r="G1746" s="6" t="s">
        <v>295</v>
      </c>
      <c r="H1746" s="6" t="s">
        <v>296</v>
      </c>
      <c r="I1746" s="6" t="s">
        <v>63</v>
      </c>
      <c r="J1746" s="6">
        <v>16.332708</v>
      </c>
      <c r="K1746" s="6">
        <v>-96.592189000000005</v>
      </c>
      <c r="L1746" s="6" t="str">
        <f>HYPERLINK("https://maps.google.com/?q=16.332708,-96.592189000000005", "🔗 Ver Mapa")</f>
        <v>🔗 Ver Mapa</v>
      </c>
    </row>
    <row r="1747" spans="1:12" ht="58" x14ac:dyDescent="0.35">
      <c r="A1747" s="5" t="s">
        <v>286</v>
      </c>
      <c r="B1747" s="5" t="s">
        <v>287</v>
      </c>
      <c r="C1747" s="5" t="s">
        <v>292</v>
      </c>
      <c r="D1747" s="5" t="s">
        <v>289</v>
      </c>
      <c r="E1747" s="5" t="s">
        <v>293</v>
      </c>
      <c r="F1747" s="5" t="s">
        <v>294</v>
      </c>
      <c r="G1747" s="5" t="s">
        <v>295</v>
      </c>
      <c r="H1747" s="5" t="s">
        <v>296</v>
      </c>
      <c r="I1747" s="5" t="s">
        <v>63</v>
      </c>
      <c r="J1747" s="5">
        <v>16.332749</v>
      </c>
      <c r="K1747" s="5">
        <v>-96.592572000000004</v>
      </c>
      <c r="L1747" s="5" t="str">
        <f>HYPERLINK("https://maps.google.com/?q=16.332749,-96.592572000000004", "🔗 Ver Mapa")</f>
        <v>🔗 Ver Mapa</v>
      </c>
    </row>
    <row r="1748" spans="1:12" ht="58" x14ac:dyDescent="0.35">
      <c r="A1748" s="6" t="s">
        <v>286</v>
      </c>
      <c r="B1748" s="6" t="s">
        <v>287</v>
      </c>
      <c r="C1748" s="6" t="s">
        <v>292</v>
      </c>
      <c r="D1748" s="6" t="s">
        <v>289</v>
      </c>
      <c r="E1748" s="6" t="s">
        <v>293</v>
      </c>
      <c r="F1748" s="6" t="s">
        <v>294</v>
      </c>
      <c r="G1748" s="6" t="s">
        <v>295</v>
      </c>
      <c r="H1748" s="6" t="s">
        <v>296</v>
      </c>
      <c r="I1748" s="6" t="s">
        <v>63</v>
      </c>
      <c r="J1748" s="6">
        <v>16.332768999999999</v>
      </c>
      <c r="K1748" s="6">
        <v>-96.592759000000001</v>
      </c>
      <c r="L1748" s="6" t="str">
        <f>HYPERLINK("https://maps.google.com/?q=16.332769,-96.592759000000001", "🔗 Ver Mapa")</f>
        <v>🔗 Ver Mapa</v>
      </c>
    </row>
    <row r="1749" spans="1:12" ht="58" x14ac:dyDescent="0.35">
      <c r="A1749" s="5" t="s">
        <v>206</v>
      </c>
      <c r="B1749" s="5" t="s">
        <v>207</v>
      </c>
      <c r="C1749" s="5" t="s">
        <v>297</v>
      </c>
      <c r="D1749" s="5" t="s">
        <v>34</v>
      </c>
      <c r="E1749" s="5" t="s">
        <v>37</v>
      </c>
      <c r="F1749" s="5" t="s">
        <v>41</v>
      </c>
      <c r="G1749" s="5" t="s">
        <v>298</v>
      </c>
      <c r="H1749" s="5" t="s">
        <v>299</v>
      </c>
      <c r="I1749" s="5" t="s">
        <v>63</v>
      </c>
      <c r="J1749" s="5">
        <v>17.027318000000001</v>
      </c>
      <c r="K1749" s="5" t="s">
        <v>300</v>
      </c>
      <c r="L1749" s="5" t="str">
        <f>HYPERLINK("https://maps.google.com/?q=17.027318, -96.734302", "🔗 Ver Mapa")</f>
        <v>🔗 Ver Mapa</v>
      </c>
    </row>
    <row r="1750" spans="1:12" ht="58" x14ac:dyDescent="0.35">
      <c r="A1750" s="6" t="s">
        <v>206</v>
      </c>
      <c r="B1750" s="6" t="s">
        <v>207</v>
      </c>
      <c r="C1750" s="6" t="s">
        <v>297</v>
      </c>
      <c r="D1750" s="6" t="s">
        <v>34</v>
      </c>
      <c r="E1750" s="6" t="s">
        <v>37</v>
      </c>
      <c r="F1750" s="6" t="s">
        <v>41</v>
      </c>
      <c r="G1750" s="6" t="s">
        <v>298</v>
      </c>
      <c r="H1750" s="6" t="s">
        <v>299</v>
      </c>
      <c r="I1750" s="6" t="s">
        <v>63</v>
      </c>
      <c r="J1750" s="6">
        <v>17.031328999999999</v>
      </c>
      <c r="K1750" s="6">
        <v>-96.699265999999994</v>
      </c>
      <c r="L1750" s="6" t="str">
        <f>HYPERLINK("https://maps.google.com/?q=17.031329,-96.699266", "🔗 Ver Mapa")</f>
        <v>🔗 Ver Mapa</v>
      </c>
    </row>
    <row r="1751" spans="1:12" ht="58" x14ac:dyDescent="0.35">
      <c r="A1751" s="5" t="s">
        <v>206</v>
      </c>
      <c r="B1751" s="5" t="s">
        <v>207</v>
      </c>
      <c r="C1751" s="5" t="s">
        <v>297</v>
      </c>
      <c r="D1751" s="5" t="s">
        <v>34</v>
      </c>
      <c r="E1751" s="5" t="s">
        <v>37</v>
      </c>
      <c r="F1751" s="5" t="s">
        <v>41</v>
      </c>
      <c r="G1751" s="5" t="s">
        <v>298</v>
      </c>
      <c r="H1751" s="5" t="s">
        <v>299</v>
      </c>
      <c r="I1751" s="5" t="s">
        <v>63</v>
      </c>
      <c r="J1751" s="5">
        <v>17.05857</v>
      </c>
      <c r="K1751" s="5">
        <v>-96.672067999999996</v>
      </c>
      <c r="L1751" s="5" t="str">
        <f>HYPERLINK("https://maps.google.com/?q=17.05857,-96.672068", "🔗 Ver Mapa")</f>
        <v>🔗 Ver Mapa</v>
      </c>
    </row>
    <row r="1752" spans="1:12" ht="58" x14ac:dyDescent="0.35">
      <c r="A1752" s="6" t="s">
        <v>206</v>
      </c>
      <c r="B1752" s="6" t="s">
        <v>207</v>
      </c>
      <c r="C1752" s="6" t="s">
        <v>297</v>
      </c>
      <c r="D1752" s="6" t="s">
        <v>34</v>
      </c>
      <c r="E1752" s="6" t="s">
        <v>37</v>
      </c>
      <c r="F1752" s="6" t="s">
        <v>41</v>
      </c>
      <c r="G1752" s="6" t="s">
        <v>298</v>
      </c>
      <c r="H1752" s="6" t="s">
        <v>299</v>
      </c>
      <c r="I1752" s="6" t="s">
        <v>63</v>
      </c>
      <c r="J1752" s="6">
        <v>17.063790999999998</v>
      </c>
      <c r="K1752" s="6" t="s">
        <v>301</v>
      </c>
      <c r="L1752" s="6" t="str">
        <f>HYPERLINK("https://maps.google.com/?q=17.063791, -96.730118", "🔗 Ver Mapa")</f>
        <v>🔗 Ver Mapa</v>
      </c>
    </row>
    <row r="1753" spans="1:12" ht="58" x14ac:dyDescent="0.35">
      <c r="A1753" s="5" t="s">
        <v>206</v>
      </c>
      <c r="B1753" s="5" t="s">
        <v>207</v>
      </c>
      <c r="C1753" s="5" t="s">
        <v>297</v>
      </c>
      <c r="D1753" s="5" t="s">
        <v>34</v>
      </c>
      <c r="E1753" s="5" t="s">
        <v>37</v>
      </c>
      <c r="F1753" s="5" t="s">
        <v>41</v>
      </c>
      <c r="G1753" s="5" t="s">
        <v>298</v>
      </c>
      <c r="H1753" s="5" t="s">
        <v>299</v>
      </c>
      <c r="I1753" s="5" t="s">
        <v>63</v>
      </c>
      <c r="J1753" s="5">
        <v>17.064102999999999</v>
      </c>
      <c r="K1753" s="5">
        <v>-96.694605999999993</v>
      </c>
      <c r="L1753" s="5" t="str">
        <f>HYPERLINK("https://maps.google.com/?q=17.064103,-96.694606", "🔗 Ver Mapa")</f>
        <v>🔗 Ver Mapa</v>
      </c>
    </row>
    <row r="1754" spans="1:12" ht="58" x14ac:dyDescent="0.35">
      <c r="A1754" s="6" t="s">
        <v>206</v>
      </c>
      <c r="B1754" s="6" t="s">
        <v>207</v>
      </c>
      <c r="C1754" s="6" t="s">
        <v>297</v>
      </c>
      <c r="D1754" s="6" t="s">
        <v>34</v>
      </c>
      <c r="E1754" s="6" t="s">
        <v>37</v>
      </c>
      <c r="F1754" s="6" t="s">
        <v>41</v>
      </c>
      <c r="G1754" s="6" t="s">
        <v>298</v>
      </c>
      <c r="H1754" s="6" t="s">
        <v>299</v>
      </c>
      <c r="I1754" s="6" t="s">
        <v>63</v>
      </c>
      <c r="J1754" s="6">
        <v>17.100840999999999</v>
      </c>
      <c r="K1754" s="6">
        <v>-96.762489000000002</v>
      </c>
      <c r="L1754" s="6" t="str">
        <f>HYPERLINK("https://maps.google.com/?q=17.100841,-96.762489", "🔗 Ver Mapa")</f>
        <v>🔗 Ver Mapa</v>
      </c>
    </row>
    <row r="1755" spans="1:12" ht="58" x14ac:dyDescent="0.35">
      <c r="A1755" s="5" t="s">
        <v>286</v>
      </c>
      <c r="B1755" s="5" t="s">
        <v>287</v>
      </c>
      <c r="C1755" s="5" t="s">
        <v>302</v>
      </c>
      <c r="D1755" s="5" t="s">
        <v>303</v>
      </c>
      <c r="E1755" s="5" t="s">
        <v>37</v>
      </c>
      <c r="F1755" s="5" t="s">
        <v>83</v>
      </c>
      <c r="G1755" s="5" t="s">
        <v>107</v>
      </c>
      <c r="H1755" s="5" t="s">
        <v>120</v>
      </c>
      <c r="I1755" s="5" t="s">
        <v>63</v>
      </c>
      <c r="J1755" s="5">
        <v>17.307165999999999</v>
      </c>
      <c r="K1755" s="5">
        <v>-96.898362000000006</v>
      </c>
      <c r="L1755" s="5" t="str">
        <f>HYPERLINK("https://maps.google.com/?q=17.307166,-96.898362000000006", "🔗 Ver Mapa")</f>
        <v>🔗 Ver Mapa</v>
      </c>
    </row>
    <row r="1756" spans="1:12" ht="58" x14ac:dyDescent="0.35">
      <c r="A1756" s="6" t="s">
        <v>286</v>
      </c>
      <c r="B1756" s="6" t="s">
        <v>287</v>
      </c>
      <c r="C1756" s="6" t="s">
        <v>302</v>
      </c>
      <c r="D1756" s="6" t="s">
        <v>303</v>
      </c>
      <c r="E1756" s="6" t="s">
        <v>37</v>
      </c>
      <c r="F1756" s="6" t="s">
        <v>83</v>
      </c>
      <c r="G1756" s="6" t="s">
        <v>107</v>
      </c>
      <c r="H1756" s="6" t="s">
        <v>120</v>
      </c>
      <c r="I1756" s="6" t="s">
        <v>63</v>
      </c>
      <c r="J1756" s="6">
        <v>17.307396000000001</v>
      </c>
      <c r="K1756" s="6">
        <v>-96.898726999999994</v>
      </c>
      <c r="L1756" s="6" t="str">
        <f>HYPERLINK("https://maps.google.com/?q=17.307396,-96.898726999999994", "🔗 Ver Mapa")</f>
        <v>🔗 Ver Mapa</v>
      </c>
    </row>
    <row r="1757" spans="1:12" ht="58" x14ac:dyDescent="0.35">
      <c r="A1757" s="5" t="s">
        <v>286</v>
      </c>
      <c r="B1757" s="5" t="s">
        <v>287</v>
      </c>
      <c r="C1757" s="5" t="s">
        <v>302</v>
      </c>
      <c r="D1757" s="5" t="s">
        <v>303</v>
      </c>
      <c r="E1757" s="5" t="s">
        <v>37</v>
      </c>
      <c r="F1757" s="5" t="s">
        <v>83</v>
      </c>
      <c r="G1757" s="5" t="s">
        <v>107</v>
      </c>
      <c r="H1757" s="5" t="s">
        <v>120</v>
      </c>
      <c r="I1757" s="5" t="s">
        <v>63</v>
      </c>
      <c r="J1757" s="5">
        <v>17.307841</v>
      </c>
      <c r="K1757" s="5">
        <v>-96.898910000000001</v>
      </c>
      <c r="L1757" s="5" t="str">
        <f>HYPERLINK("https://maps.google.com/?q=17.307841,-96.898910000000001", "🔗 Ver Mapa")</f>
        <v>🔗 Ver Mapa</v>
      </c>
    </row>
    <row r="1758" spans="1:12" ht="58" x14ac:dyDescent="0.35">
      <c r="A1758" s="6" t="s">
        <v>286</v>
      </c>
      <c r="B1758" s="6" t="s">
        <v>287</v>
      </c>
      <c r="C1758" s="6" t="s">
        <v>302</v>
      </c>
      <c r="D1758" s="6" t="s">
        <v>303</v>
      </c>
      <c r="E1758" s="6" t="s">
        <v>37</v>
      </c>
      <c r="F1758" s="6" t="s">
        <v>83</v>
      </c>
      <c r="G1758" s="6" t="s">
        <v>107</v>
      </c>
      <c r="H1758" s="6" t="s">
        <v>120</v>
      </c>
      <c r="I1758" s="6" t="s">
        <v>63</v>
      </c>
      <c r="J1758" s="6">
        <v>17.308299000000002</v>
      </c>
      <c r="K1758" s="6">
        <v>-96.898660000000007</v>
      </c>
      <c r="L1758" s="6" t="str">
        <f>HYPERLINK("https://maps.google.com/?q=17.308299,-96.898660000000007", "🔗 Ver Mapa")</f>
        <v>🔗 Ver Mapa</v>
      </c>
    </row>
    <row r="1759" spans="1:12" ht="58" x14ac:dyDescent="0.35">
      <c r="A1759" s="5" t="s">
        <v>286</v>
      </c>
      <c r="B1759" s="5" t="s">
        <v>287</v>
      </c>
      <c r="C1759" s="5" t="s">
        <v>302</v>
      </c>
      <c r="D1759" s="5" t="s">
        <v>303</v>
      </c>
      <c r="E1759" s="5" t="s">
        <v>37</v>
      </c>
      <c r="F1759" s="5" t="s">
        <v>83</v>
      </c>
      <c r="G1759" s="5" t="s">
        <v>107</v>
      </c>
      <c r="H1759" s="5" t="s">
        <v>120</v>
      </c>
      <c r="I1759" s="5" t="s">
        <v>63</v>
      </c>
      <c r="J1759" s="5">
        <v>17.308419000000001</v>
      </c>
      <c r="K1759" s="5">
        <v>-96.899759000000003</v>
      </c>
      <c r="L1759" s="5" t="str">
        <f>HYPERLINK("https://maps.google.com/?q=17.308419,-96.899759000000003", "🔗 Ver Mapa")</f>
        <v>🔗 Ver Mapa</v>
      </c>
    </row>
    <row r="1760" spans="1:12" ht="58" x14ac:dyDescent="0.35">
      <c r="A1760" s="6" t="s">
        <v>286</v>
      </c>
      <c r="B1760" s="6" t="s">
        <v>287</v>
      </c>
      <c r="C1760" s="6" t="s">
        <v>302</v>
      </c>
      <c r="D1760" s="6" t="s">
        <v>303</v>
      </c>
      <c r="E1760" s="6" t="s">
        <v>37</v>
      </c>
      <c r="F1760" s="6" t="s">
        <v>83</v>
      </c>
      <c r="G1760" s="6" t="s">
        <v>107</v>
      </c>
      <c r="H1760" s="6" t="s">
        <v>120</v>
      </c>
      <c r="I1760" s="6" t="s">
        <v>63</v>
      </c>
      <c r="J1760" s="6">
        <v>17.308646</v>
      </c>
      <c r="K1760" s="6">
        <v>-96.899051</v>
      </c>
      <c r="L1760" s="6" t="str">
        <f>HYPERLINK("https://maps.google.com/?q=17.308646,-96.899051", "🔗 Ver Mapa")</f>
        <v>🔗 Ver Mapa</v>
      </c>
    </row>
    <row r="1761" spans="1:12" ht="58" x14ac:dyDescent="0.35">
      <c r="A1761" s="5" t="s">
        <v>286</v>
      </c>
      <c r="B1761" s="5" t="s">
        <v>287</v>
      </c>
      <c r="C1761" s="5" t="s">
        <v>302</v>
      </c>
      <c r="D1761" s="5" t="s">
        <v>303</v>
      </c>
      <c r="E1761" s="5" t="s">
        <v>37</v>
      </c>
      <c r="F1761" s="5" t="s">
        <v>83</v>
      </c>
      <c r="G1761" s="5" t="s">
        <v>107</v>
      </c>
      <c r="H1761" s="5" t="s">
        <v>120</v>
      </c>
      <c r="I1761" s="5" t="s">
        <v>63</v>
      </c>
      <c r="J1761" s="5">
        <v>17.308805</v>
      </c>
      <c r="K1761" s="5">
        <v>-96.899518999999998</v>
      </c>
      <c r="L1761" s="5" t="str">
        <f>HYPERLINK("https://maps.google.com/?q=17.308805,-96.899518999999998", "🔗 Ver Mapa")</f>
        <v>🔗 Ver Mapa</v>
      </c>
    </row>
    <row r="1762" spans="1:12" ht="58" x14ac:dyDescent="0.35">
      <c r="A1762" s="6" t="s">
        <v>286</v>
      </c>
      <c r="B1762" s="6" t="s">
        <v>287</v>
      </c>
      <c r="C1762" s="6" t="s">
        <v>302</v>
      </c>
      <c r="D1762" s="6" t="s">
        <v>303</v>
      </c>
      <c r="E1762" s="6" t="s">
        <v>37</v>
      </c>
      <c r="F1762" s="6" t="s">
        <v>83</v>
      </c>
      <c r="G1762" s="6" t="s">
        <v>107</v>
      </c>
      <c r="H1762" s="6" t="s">
        <v>120</v>
      </c>
      <c r="I1762" s="6" t="s">
        <v>63</v>
      </c>
      <c r="J1762" s="6">
        <v>17.310237999999998</v>
      </c>
      <c r="K1762" s="6">
        <v>-96.913065000000003</v>
      </c>
      <c r="L1762" s="6" t="str">
        <f>HYPERLINK("https://maps.google.com/?q=17.310238,-96.913065000000003", "🔗 Ver Mapa")</f>
        <v>🔗 Ver Mapa</v>
      </c>
    </row>
    <row r="1763" spans="1:12" ht="58" x14ac:dyDescent="0.35">
      <c r="A1763" s="5" t="s">
        <v>286</v>
      </c>
      <c r="B1763" s="5" t="s">
        <v>287</v>
      </c>
      <c r="C1763" s="5" t="s">
        <v>302</v>
      </c>
      <c r="D1763" s="5" t="s">
        <v>303</v>
      </c>
      <c r="E1763" s="5" t="s">
        <v>37</v>
      </c>
      <c r="F1763" s="5" t="s">
        <v>83</v>
      </c>
      <c r="G1763" s="5" t="s">
        <v>107</v>
      </c>
      <c r="H1763" s="5" t="s">
        <v>120</v>
      </c>
      <c r="I1763" s="5" t="s">
        <v>63</v>
      </c>
      <c r="J1763" s="5">
        <v>17.310286000000001</v>
      </c>
      <c r="K1763" s="5">
        <v>-96.912491000000003</v>
      </c>
      <c r="L1763" s="5" t="str">
        <f>HYPERLINK("https://maps.google.com/?q=17.310286,-96.912491000000003", "🔗 Ver Mapa")</f>
        <v>🔗 Ver Mapa</v>
      </c>
    </row>
    <row r="1764" spans="1:12" ht="58" x14ac:dyDescent="0.35">
      <c r="A1764" s="6" t="s">
        <v>286</v>
      </c>
      <c r="B1764" s="6" t="s">
        <v>287</v>
      </c>
      <c r="C1764" s="6" t="s">
        <v>302</v>
      </c>
      <c r="D1764" s="6" t="s">
        <v>303</v>
      </c>
      <c r="E1764" s="6" t="s">
        <v>37</v>
      </c>
      <c r="F1764" s="6" t="s">
        <v>83</v>
      </c>
      <c r="G1764" s="6" t="s">
        <v>107</v>
      </c>
      <c r="H1764" s="6" t="s">
        <v>120</v>
      </c>
      <c r="I1764" s="6" t="s">
        <v>63</v>
      </c>
      <c r="J1764" s="6">
        <v>17.310317000000001</v>
      </c>
      <c r="K1764" s="6">
        <v>-96.911963999999998</v>
      </c>
      <c r="L1764" s="6" t="str">
        <f>HYPERLINK("https://maps.google.com/?q=17.310317,-96.911963999999998", "🔗 Ver Mapa")</f>
        <v>🔗 Ver Mapa</v>
      </c>
    </row>
    <row r="1765" spans="1:12" ht="58" x14ac:dyDescent="0.35">
      <c r="A1765" s="5" t="s">
        <v>286</v>
      </c>
      <c r="B1765" s="5" t="s">
        <v>287</v>
      </c>
      <c r="C1765" s="5" t="s">
        <v>302</v>
      </c>
      <c r="D1765" s="5" t="s">
        <v>303</v>
      </c>
      <c r="E1765" s="5" t="s">
        <v>37</v>
      </c>
      <c r="F1765" s="5" t="s">
        <v>83</v>
      </c>
      <c r="G1765" s="5" t="s">
        <v>107</v>
      </c>
      <c r="H1765" s="5" t="s">
        <v>120</v>
      </c>
      <c r="I1765" s="5" t="s">
        <v>63</v>
      </c>
      <c r="J1765" s="5">
        <v>17.310323</v>
      </c>
      <c r="K1765" s="5">
        <v>-96.911681999999999</v>
      </c>
      <c r="L1765" s="5" t="str">
        <f>HYPERLINK("https://maps.google.com/?q=17.310323,-96.911681999999999", "🔗 Ver Mapa")</f>
        <v>🔗 Ver Mapa</v>
      </c>
    </row>
    <row r="1766" spans="1:12" ht="58" x14ac:dyDescent="0.35">
      <c r="A1766" s="6" t="s">
        <v>286</v>
      </c>
      <c r="B1766" s="6" t="s">
        <v>287</v>
      </c>
      <c r="C1766" s="6" t="s">
        <v>302</v>
      </c>
      <c r="D1766" s="6" t="s">
        <v>303</v>
      </c>
      <c r="E1766" s="6" t="s">
        <v>37</v>
      </c>
      <c r="F1766" s="6" t="s">
        <v>83</v>
      </c>
      <c r="G1766" s="6" t="s">
        <v>107</v>
      </c>
      <c r="H1766" s="6" t="s">
        <v>120</v>
      </c>
      <c r="I1766" s="6" t="s">
        <v>63</v>
      </c>
      <c r="J1766" s="6">
        <v>17.310362999999999</v>
      </c>
      <c r="K1766" s="6">
        <v>-96.910270999999995</v>
      </c>
      <c r="L1766" s="6" t="str">
        <f>HYPERLINK("https://maps.google.com/?q=17.310363,-96.910270999999995", "🔗 Ver Mapa")</f>
        <v>🔗 Ver Mapa</v>
      </c>
    </row>
    <row r="1767" spans="1:12" ht="58" x14ac:dyDescent="0.35">
      <c r="A1767" s="5" t="s">
        <v>286</v>
      </c>
      <c r="B1767" s="5" t="s">
        <v>287</v>
      </c>
      <c r="C1767" s="5" t="s">
        <v>302</v>
      </c>
      <c r="D1767" s="5" t="s">
        <v>303</v>
      </c>
      <c r="E1767" s="5" t="s">
        <v>37</v>
      </c>
      <c r="F1767" s="5" t="s">
        <v>83</v>
      </c>
      <c r="G1767" s="5" t="s">
        <v>107</v>
      </c>
      <c r="H1767" s="5" t="s">
        <v>120</v>
      </c>
      <c r="I1767" s="5" t="s">
        <v>63</v>
      </c>
      <c r="J1767" s="5">
        <v>17.310538000000001</v>
      </c>
      <c r="K1767" s="5">
        <v>-96.912374999999997</v>
      </c>
      <c r="L1767" s="5" t="str">
        <f>HYPERLINK("https://maps.google.com/?q=17.310538,-96.912374999999997", "🔗 Ver Mapa")</f>
        <v>🔗 Ver Mapa</v>
      </c>
    </row>
    <row r="1768" spans="1:12" ht="58" x14ac:dyDescent="0.35">
      <c r="A1768" s="6" t="s">
        <v>286</v>
      </c>
      <c r="B1768" s="6" t="s">
        <v>287</v>
      </c>
      <c r="C1768" s="6" t="s">
        <v>302</v>
      </c>
      <c r="D1768" s="6" t="s">
        <v>303</v>
      </c>
      <c r="E1768" s="6" t="s">
        <v>37</v>
      </c>
      <c r="F1768" s="6" t="s">
        <v>83</v>
      </c>
      <c r="G1768" s="6" t="s">
        <v>107</v>
      </c>
      <c r="H1768" s="6" t="s">
        <v>120</v>
      </c>
      <c r="I1768" s="6" t="s">
        <v>63</v>
      </c>
      <c r="J1768" s="6">
        <v>17.310593000000001</v>
      </c>
      <c r="K1768" s="6">
        <v>-96.911602999999999</v>
      </c>
      <c r="L1768" s="6" t="str">
        <f>HYPERLINK("https://maps.google.com/?q=17.310593,-96.911602999999999", "🔗 Ver Mapa")</f>
        <v>🔗 Ver Mapa</v>
      </c>
    </row>
    <row r="1769" spans="1:12" ht="58" x14ac:dyDescent="0.35">
      <c r="A1769" s="5" t="s">
        <v>286</v>
      </c>
      <c r="B1769" s="5" t="s">
        <v>287</v>
      </c>
      <c r="C1769" s="5" t="s">
        <v>302</v>
      </c>
      <c r="D1769" s="5" t="s">
        <v>303</v>
      </c>
      <c r="E1769" s="5" t="s">
        <v>37</v>
      </c>
      <c r="F1769" s="5" t="s">
        <v>83</v>
      </c>
      <c r="G1769" s="5" t="s">
        <v>107</v>
      </c>
      <c r="H1769" s="5" t="s">
        <v>120</v>
      </c>
      <c r="I1769" s="5" t="s">
        <v>63</v>
      </c>
      <c r="J1769" s="5">
        <v>17.310742000000001</v>
      </c>
      <c r="K1769" s="5">
        <v>-96.910285000000002</v>
      </c>
      <c r="L1769" s="5" t="str">
        <f>HYPERLINK("https://maps.google.com/?q=17.310742,-96.910285000000002", "🔗 Ver Mapa")</f>
        <v>🔗 Ver Mapa</v>
      </c>
    </row>
    <row r="1770" spans="1:12" ht="58" x14ac:dyDescent="0.35">
      <c r="A1770" s="6" t="s">
        <v>286</v>
      </c>
      <c r="B1770" s="6" t="s">
        <v>287</v>
      </c>
      <c r="C1770" s="6" t="s">
        <v>302</v>
      </c>
      <c r="D1770" s="6" t="s">
        <v>303</v>
      </c>
      <c r="E1770" s="6" t="s">
        <v>37</v>
      </c>
      <c r="F1770" s="6" t="s">
        <v>83</v>
      </c>
      <c r="G1770" s="6" t="s">
        <v>107</v>
      </c>
      <c r="H1770" s="6" t="s">
        <v>120</v>
      </c>
      <c r="I1770" s="6" t="s">
        <v>63</v>
      </c>
      <c r="J1770" s="6">
        <v>17.311021</v>
      </c>
      <c r="K1770" s="6">
        <v>-96.911871000000005</v>
      </c>
      <c r="L1770" s="6" t="str">
        <f>HYPERLINK("https://maps.google.com/?q=17.311021,-96.911871000000005", "🔗 Ver Mapa")</f>
        <v>🔗 Ver Mapa</v>
      </c>
    </row>
    <row r="1771" spans="1:12" ht="58" x14ac:dyDescent="0.35">
      <c r="A1771" s="5" t="s">
        <v>286</v>
      </c>
      <c r="B1771" s="5" t="s">
        <v>287</v>
      </c>
      <c r="C1771" s="5" t="s">
        <v>302</v>
      </c>
      <c r="D1771" s="5" t="s">
        <v>303</v>
      </c>
      <c r="E1771" s="5" t="s">
        <v>37</v>
      </c>
      <c r="F1771" s="5" t="s">
        <v>83</v>
      </c>
      <c r="G1771" s="5" t="s">
        <v>107</v>
      </c>
      <c r="H1771" s="5" t="s">
        <v>120</v>
      </c>
      <c r="I1771" s="5" t="s">
        <v>63</v>
      </c>
      <c r="J1771" s="5">
        <v>17.311430000000001</v>
      </c>
      <c r="K1771" s="5">
        <v>-96.912120999999999</v>
      </c>
      <c r="L1771" s="5" t="str">
        <f>HYPERLINK("https://maps.google.com/?q=17.31143,-96.912120999999999", "🔗 Ver Mapa")</f>
        <v>🔗 Ver Mapa</v>
      </c>
    </row>
    <row r="1772" spans="1:12" ht="58" x14ac:dyDescent="0.35">
      <c r="A1772" s="6" t="s">
        <v>286</v>
      </c>
      <c r="B1772" s="6" t="s">
        <v>287</v>
      </c>
      <c r="C1772" s="6" t="s">
        <v>302</v>
      </c>
      <c r="D1772" s="6" t="s">
        <v>303</v>
      </c>
      <c r="E1772" s="6" t="s">
        <v>37</v>
      </c>
      <c r="F1772" s="6" t="s">
        <v>83</v>
      </c>
      <c r="G1772" s="6" t="s">
        <v>107</v>
      </c>
      <c r="H1772" s="6" t="s">
        <v>120</v>
      </c>
      <c r="I1772" s="6" t="s">
        <v>63</v>
      </c>
      <c r="J1772" s="6">
        <v>17.311917999999999</v>
      </c>
      <c r="K1772" s="6">
        <v>-96.912143</v>
      </c>
      <c r="L1772" s="6" t="str">
        <f>HYPERLINK("https://maps.google.com/?q=17.311918,-96.912143", "🔗 Ver Mapa")</f>
        <v>🔗 Ver Mapa</v>
      </c>
    </row>
    <row r="1773" spans="1:12" ht="58" x14ac:dyDescent="0.35">
      <c r="A1773" s="5" t="s">
        <v>286</v>
      </c>
      <c r="B1773" s="5" t="s">
        <v>287</v>
      </c>
      <c r="C1773" s="5" t="s">
        <v>302</v>
      </c>
      <c r="D1773" s="5" t="s">
        <v>303</v>
      </c>
      <c r="E1773" s="5" t="s">
        <v>37</v>
      </c>
      <c r="F1773" s="5" t="s">
        <v>83</v>
      </c>
      <c r="G1773" s="5" t="s">
        <v>107</v>
      </c>
      <c r="H1773" s="5" t="s">
        <v>120</v>
      </c>
      <c r="I1773" s="5" t="s">
        <v>63</v>
      </c>
      <c r="J1773" s="5">
        <v>17.312379</v>
      </c>
      <c r="K1773" s="5">
        <v>-96.912212999999994</v>
      </c>
      <c r="L1773" s="5" t="str">
        <f>HYPERLINK("https://maps.google.com/?q=17.312379,-96.912212999999994", "🔗 Ver Mapa")</f>
        <v>🔗 Ver Mapa</v>
      </c>
    </row>
    <row r="1774" spans="1:12" ht="43.5" x14ac:dyDescent="0.35">
      <c r="A1774" s="6" t="s">
        <v>286</v>
      </c>
      <c r="B1774" s="6" t="s">
        <v>287</v>
      </c>
      <c r="C1774" s="6" t="s">
        <v>304</v>
      </c>
      <c r="D1774" s="6" t="s">
        <v>305</v>
      </c>
      <c r="E1774" s="6" t="s">
        <v>38</v>
      </c>
      <c r="F1774" s="6" t="s">
        <v>97</v>
      </c>
      <c r="G1774" s="6" t="s">
        <v>306</v>
      </c>
      <c r="H1774" s="6" t="s">
        <v>307</v>
      </c>
      <c r="I1774" s="6" t="s">
        <v>63</v>
      </c>
      <c r="J1774" s="6">
        <v>16.21526575</v>
      </c>
      <c r="K1774" s="6">
        <v>-98.186064900000005</v>
      </c>
      <c r="L1774" s="6" t="str">
        <f>HYPERLINK("https://maps.google.com/?q=16.21526575,-98.1860649", "🔗 Ver Mapa")</f>
        <v>🔗 Ver Mapa</v>
      </c>
    </row>
    <row r="1775" spans="1:12" ht="43.5" x14ac:dyDescent="0.35">
      <c r="A1775" s="5" t="s">
        <v>286</v>
      </c>
      <c r="B1775" s="5" t="s">
        <v>287</v>
      </c>
      <c r="C1775" s="5" t="s">
        <v>308</v>
      </c>
      <c r="D1775" s="5" t="s">
        <v>289</v>
      </c>
      <c r="E1775" s="5" t="s">
        <v>38</v>
      </c>
      <c r="F1775" s="5" t="s">
        <v>43</v>
      </c>
      <c r="G1775" s="5" t="s">
        <v>309</v>
      </c>
      <c r="H1775" s="5" t="s">
        <v>310</v>
      </c>
      <c r="I1775" s="5" t="s">
        <v>63</v>
      </c>
      <c r="J1775" s="5">
        <v>15.772992500000001</v>
      </c>
      <c r="K1775" s="5">
        <v>-96.141110600000005</v>
      </c>
      <c r="L1775" s="5" t="str">
        <f>HYPERLINK("https://maps.google.com/?q=15.7729925,-96.141110600000005", "🔗 Ver Mapa")</f>
        <v>🔗 Ver Mapa</v>
      </c>
    </row>
    <row r="1776" spans="1:12" ht="43.5" x14ac:dyDescent="0.35">
      <c r="A1776" s="6" t="s">
        <v>286</v>
      </c>
      <c r="B1776" s="6" t="s">
        <v>287</v>
      </c>
      <c r="C1776" s="6" t="s">
        <v>308</v>
      </c>
      <c r="D1776" s="6" t="s">
        <v>289</v>
      </c>
      <c r="E1776" s="6" t="s">
        <v>38</v>
      </c>
      <c r="F1776" s="6" t="s">
        <v>43</v>
      </c>
      <c r="G1776" s="6" t="s">
        <v>309</v>
      </c>
      <c r="H1776" s="6" t="s">
        <v>310</v>
      </c>
      <c r="I1776" s="6" t="s">
        <v>63</v>
      </c>
      <c r="J1776" s="6">
        <v>15.772995</v>
      </c>
      <c r="K1776" s="6">
        <v>-96.140876700000007</v>
      </c>
      <c r="L1776" s="6" t="str">
        <f>HYPERLINK("https://maps.google.com/?q=15.772995,-96.140876700000007", "🔗 Ver Mapa")</f>
        <v>🔗 Ver Mapa</v>
      </c>
    </row>
    <row r="1777" spans="1:12" ht="43.5" x14ac:dyDescent="0.35">
      <c r="A1777" s="5" t="s">
        <v>286</v>
      </c>
      <c r="B1777" s="5" t="s">
        <v>287</v>
      </c>
      <c r="C1777" s="5" t="s">
        <v>308</v>
      </c>
      <c r="D1777" s="5" t="s">
        <v>289</v>
      </c>
      <c r="E1777" s="5" t="s">
        <v>38</v>
      </c>
      <c r="F1777" s="5" t="s">
        <v>43</v>
      </c>
      <c r="G1777" s="5" t="s">
        <v>309</v>
      </c>
      <c r="H1777" s="5" t="s">
        <v>310</v>
      </c>
      <c r="I1777" s="5" t="s">
        <v>63</v>
      </c>
      <c r="J1777" s="5">
        <v>15.7730034</v>
      </c>
      <c r="K1777" s="5">
        <v>-96.140643499999996</v>
      </c>
      <c r="L1777" s="5" t="str">
        <f>HYPERLINK("https://maps.google.com/?q=15.7730034,-96.140643499999996", "🔗 Ver Mapa")</f>
        <v>🔗 Ver Mapa</v>
      </c>
    </row>
    <row r="1778" spans="1:12" ht="43.5" x14ac:dyDescent="0.35">
      <c r="A1778" s="6" t="s">
        <v>286</v>
      </c>
      <c r="B1778" s="6" t="s">
        <v>287</v>
      </c>
      <c r="C1778" s="6" t="s">
        <v>308</v>
      </c>
      <c r="D1778" s="6" t="s">
        <v>289</v>
      </c>
      <c r="E1778" s="6" t="s">
        <v>38</v>
      </c>
      <c r="F1778" s="6" t="s">
        <v>43</v>
      </c>
      <c r="G1778" s="6" t="s">
        <v>309</v>
      </c>
      <c r="H1778" s="6" t="s">
        <v>310</v>
      </c>
      <c r="I1778" s="6" t="s">
        <v>63</v>
      </c>
      <c r="J1778" s="6">
        <v>15.7730187</v>
      </c>
      <c r="K1778" s="6">
        <v>-96.140411700000001</v>
      </c>
      <c r="L1778" s="6" t="str">
        <f>HYPERLINK("https://maps.google.com/?q=15.7730187,-96.140411700000001", "🔗 Ver Mapa")</f>
        <v>🔗 Ver Mapa</v>
      </c>
    </row>
    <row r="1779" spans="1:12" ht="43.5" x14ac:dyDescent="0.35">
      <c r="A1779" s="5" t="s">
        <v>286</v>
      </c>
      <c r="B1779" s="5" t="s">
        <v>287</v>
      </c>
      <c r="C1779" s="5" t="s">
        <v>308</v>
      </c>
      <c r="D1779" s="5" t="s">
        <v>289</v>
      </c>
      <c r="E1779" s="5" t="s">
        <v>38</v>
      </c>
      <c r="F1779" s="5" t="s">
        <v>43</v>
      </c>
      <c r="G1779" s="5" t="s">
        <v>309</v>
      </c>
      <c r="H1779" s="5" t="s">
        <v>310</v>
      </c>
      <c r="I1779" s="5" t="s">
        <v>63</v>
      </c>
      <c r="J1779" s="5">
        <v>15.7730225</v>
      </c>
      <c r="K1779" s="5">
        <v>-96.141342300000005</v>
      </c>
      <c r="L1779" s="5" t="str">
        <f>HYPERLINK("https://maps.google.com/?q=15.7730225,-96.141342300000005", "🔗 Ver Mapa")</f>
        <v>🔗 Ver Mapa</v>
      </c>
    </row>
    <row r="1780" spans="1:12" ht="43.5" x14ac:dyDescent="0.35">
      <c r="A1780" s="6" t="s">
        <v>286</v>
      </c>
      <c r="B1780" s="6" t="s">
        <v>287</v>
      </c>
      <c r="C1780" s="6" t="s">
        <v>308</v>
      </c>
      <c r="D1780" s="6" t="s">
        <v>289</v>
      </c>
      <c r="E1780" s="6" t="s">
        <v>38</v>
      </c>
      <c r="F1780" s="6" t="s">
        <v>43</v>
      </c>
      <c r="G1780" s="6" t="s">
        <v>309</v>
      </c>
      <c r="H1780" s="6" t="s">
        <v>310</v>
      </c>
      <c r="I1780" s="6" t="s">
        <v>63</v>
      </c>
      <c r="J1780" s="6">
        <v>15.773034000000001</v>
      </c>
      <c r="K1780" s="6">
        <v>-96.140177100000002</v>
      </c>
      <c r="L1780" s="6" t="str">
        <f>HYPERLINK("https://maps.google.com/?q=15.773034,-96.140177100000002", "🔗 Ver Mapa")</f>
        <v>🔗 Ver Mapa</v>
      </c>
    </row>
    <row r="1781" spans="1:12" ht="43.5" x14ac:dyDescent="0.35">
      <c r="A1781" s="5" t="s">
        <v>286</v>
      </c>
      <c r="B1781" s="5" t="s">
        <v>287</v>
      </c>
      <c r="C1781" s="5" t="s">
        <v>308</v>
      </c>
      <c r="D1781" s="5" t="s">
        <v>289</v>
      </c>
      <c r="E1781" s="5" t="s">
        <v>38</v>
      </c>
      <c r="F1781" s="5" t="s">
        <v>43</v>
      </c>
      <c r="G1781" s="5" t="s">
        <v>309</v>
      </c>
      <c r="H1781" s="5" t="s">
        <v>310</v>
      </c>
      <c r="I1781" s="5" t="s">
        <v>63</v>
      </c>
      <c r="J1781" s="5">
        <v>15.7730362</v>
      </c>
      <c r="K1781" s="5">
        <v>-96.136506999999995</v>
      </c>
      <c r="L1781" s="5" t="str">
        <f>HYPERLINK("https://maps.google.com/?q=15.7730362,-96.136506999999995", "🔗 Ver Mapa")</f>
        <v>🔗 Ver Mapa</v>
      </c>
    </row>
    <row r="1782" spans="1:12" ht="43.5" x14ac:dyDescent="0.35">
      <c r="A1782" s="6" t="s">
        <v>286</v>
      </c>
      <c r="B1782" s="6" t="s">
        <v>287</v>
      </c>
      <c r="C1782" s="6" t="s">
        <v>308</v>
      </c>
      <c r="D1782" s="6" t="s">
        <v>289</v>
      </c>
      <c r="E1782" s="6" t="s">
        <v>38</v>
      </c>
      <c r="F1782" s="6" t="s">
        <v>43</v>
      </c>
      <c r="G1782" s="6" t="s">
        <v>309</v>
      </c>
      <c r="H1782" s="6" t="s">
        <v>310</v>
      </c>
      <c r="I1782" s="6" t="s">
        <v>63</v>
      </c>
      <c r="J1782" s="6">
        <v>15.773052399999999</v>
      </c>
      <c r="K1782" s="6">
        <v>-96.141573800000003</v>
      </c>
      <c r="L1782" s="6" t="str">
        <f>HYPERLINK("https://maps.google.com/?q=15.7730524,-96.141573800000003", "🔗 Ver Mapa")</f>
        <v>🔗 Ver Mapa</v>
      </c>
    </row>
    <row r="1783" spans="1:12" ht="43.5" x14ac:dyDescent="0.35">
      <c r="A1783" s="5" t="s">
        <v>286</v>
      </c>
      <c r="B1783" s="5" t="s">
        <v>287</v>
      </c>
      <c r="C1783" s="5" t="s">
        <v>308</v>
      </c>
      <c r="D1783" s="5" t="s">
        <v>289</v>
      </c>
      <c r="E1783" s="5" t="s">
        <v>38</v>
      </c>
      <c r="F1783" s="5" t="s">
        <v>43</v>
      </c>
      <c r="G1783" s="5" t="s">
        <v>309</v>
      </c>
      <c r="H1783" s="5" t="s">
        <v>310</v>
      </c>
      <c r="I1783" s="5" t="s">
        <v>63</v>
      </c>
      <c r="J1783" s="5">
        <v>15.773060600000001</v>
      </c>
      <c r="K1783" s="5">
        <v>-96.139944700000001</v>
      </c>
      <c r="L1783" s="5" t="str">
        <f>HYPERLINK("https://maps.google.com/?q=15.7730606,-96.139944700000001", "🔗 Ver Mapa")</f>
        <v>🔗 Ver Mapa</v>
      </c>
    </row>
    <row r="1784" spans="1:12" ht="43.5" x14ac:dyDescent="0.35">
      <c r="A1784" s="6" t="s">
        <v>286</v>
      </c>
      <c r="B1784" s="6" t="s">
        <v>287</v>
      </c>
      <c r="C1784" s="6" t="s">
        <v>308</v>
      </c>
      <c r="D1784" s="6" t="s">
        <v>289</v>
      </c>
      <c r="E1784" s="6" t="s">
        <v>38</v>
      </c>
      <c r="F1784" s="6" t="s">
        <v>43</v>
      </c>
      <c r="G1784" s="6" t="s">
        <v>309</v>
      </c>
      <c r="H1784" s="6" t="s">
        <v>310</v>
      </c>
      <c r="I1784" s="6" t="s">
        <v>63</v>
      </c>
      <c r="J1784" s="6">
        <v>15.7730873</v>
      </c>
      <c r="K1784" s="6">
        <v>-96.139712500000002</v>
      </c>
      <c r="L1784" s="6" t="str">
        <f>HYPERLINK("https://maps.google.com/?q=15.7730873,-96.139712500000002", "🔗 Ver Mapa")</f>
        <v>🔗 Ver Mapa</v>
      </c>
    </row>
    <row r="1785" spans="1:12" ht="43.5" x14ac:dyDescent="0.35">
      <c r="A1785" s="5" t="s">
        <v>286</v>
      </c>
      <c r="B1785" s="5" t="s">
        <v>287</v>
      </c>
      <c r="C1785" s="5" t="s">
        <v>308</v>
      </c>
      <c r="D1785" s="5" t="s">
        <v>289</v>
      </c>
      <c r="E1785" s="5" t="s">
        <v>38</v>
      </c>
      <c r="F1785" s="5" t="s">
        <v>43</v>
      </c>
      <c r="G1785" s="5" t="s">
        <v>309</v>
      </c>
      <c r="H1785" s="5" t="s">
        <v>310</v>
      </c>
      <c r="I1785" s="5" t="s">
        <v>63</v>
      </c>
      <c r="J1785" s="5">
        <v>15.7731104</v>
      </c>
      <c r="K1785" s="5">
        <v>-96.139480300000002</v>
      </c>
      <c r="L1785" s="5" t="str">
        <f>HYPERLINK("https://maps.google.com/?q=15.7731104,-96.139480300000002", "🔗 Ver Mapa")</f>
        <v>🔗 Ver Mapa</v>
      </c>
    </row>
    <row r="1786" spans="1:12" ht="43.5" x14ac:dyDescent="0.35">
      <c r="A1786" s="6" t="s">
        <v>286</v>
      </c>
      <c r="B1786" s="6" t="s">
        <v>287</v>
      </c>
      <c r="C1786" s="6" t="s">
        <v>308</v>
      </c>
      <c r="D1786" s="6" t="s">
        <v>289</v>
      </c>
      <c r="E1786" s="6" t="s">
        <v>38</v>
      </c>
      <c r="F1786" s="6" t="s">
        <v>43</v>
      </c>
      <c r="G1786" s="6" t="s">
        <v>309</v>
      </c>
      <c r="H1786" s="6" t="s">
        <v>310</v>
      </c>
      <c r="I1786" s="6" t="s">
        <v>63</v>
      </c>
      <c r="J1786" s="6">
        <v>15.7731157</v>
      </c>
      <c r="K1786" s="6">
        <v>-96.141798199999997</v>
      </c>
      <c r="L1786" s="6" t="str">
        <f>HYPERLINK("https://maps.google.com/?q=15.7731157,-96.141798199999997", "🔗 Ver Mapa")</f>
        <v>🔗 Ver Mapa</v>
      </c>
    </row>
    <row r="1787" spans="1:12" ht="43.5" x14ac:dyDescent="0.35">
      <c r="A1787" s="5" t="s">
        <v>286</v>
      </c>
      <c r="B1787" s="5" t="s">
        <v>287</v>
      </c>
      <c r="C1787" s="5" t="s">
        <v>308</v>
      </c>
      <c r="D1787" s="5" t="s">
        <v>289</v>
      </c>
      <c r="E1787" s="5" t="s">
        <v>38</v>
      </c>
      <c r="F1787" s="5" t="s">
        <v>43</v>
      </c>
      <c r="G1787" s="5" t="s">
        <v>309</v>
      </c>
      <c r="H1787" s="5" t="s">
        <v>310</v>
      </c>
      <c r="I1787" s="5" t="s">
        <v>63</v>
      </c>
      <c r="J1787" s="5">
        <v>15.773118699999999</v>
      </c>
      <c r="K1787" s="5">
        <v>-96.144461199999995</v>
      </c>
      <c r="L1787" s="5" t="str">
        <f>HYPERLINK("https://maps.google.com/?q=15.7731187,-96.144461199999995", "🔗 Ver Mapa")</f>
        <v>🔗 Ver Mapa</v>
      </c>
    </row>
    <row r="1788" spans="1:12" ht="43.5" x14ac:dyDescent="0.35">
      <c r="A1788" s="6" t="s">
        <v>286</v>
      </c>
      <c r="B1788" s="6" t="s">
        <v>287</v>
      </c>
      <c r="C1788" s="6" t="s">
        <v>308</v>
      </c>
      <c r="D1788" s="6" t="s">
        <v>289</v>
      </c>
      <c r="E1788" s="6" t="s">
        <v>38</v>
      </c>
      <c r="F1788" s="6" t="s">
        <v>43</v>
      </c>
      <c r="G1788" s="6" t="s">
        <v>309</v>
      </c>
      <c r="H1788" s="6" t="s">
        <v>310</v>
      </c>
      <c r="I1788" s="6" t="s">
        <v>63</v>
      </c>
      <c r="J1788" s="6">
        <v>15.773126899999999</v>
      </c>
      <c r="K1788" s="6">
        <v>-96.141510999999994</v>
      </c>
      <c r="L1788" s="6" t="str">
        <f>HYPERLINK("https://maps.google.com/?q=15.7731269,-96.141510999999994", "🔗 Ver Mapa")</f>
        <v>🔗 Ver Mapa</v>
      </c>
    </row>
    <row r="1789" spans="1:12" ht="43.5" x14ac:dyDescent="0.35">
      <c r="A1789" s="5" t="s">
        <v>286</v>
      </c>
      <c r="B1789" s="5" t="s">
        <v>287</v>
      </c>
      <c r="C1789" s="5" t="s">
        <v>308</v>
      </c>
      <c r="D1789" s="5" t="s">
        <v>289</v>
      </c>
      <c r="E1789" s="5" t="s">
        <v>38</v>
      </c>
      <c r="F1789" s="5" t="s">
        <v>43</v>
      </c>
      <c r="G1789" s="5" t="s">
        <v>309</v>
      </c>
      <c r="H1789" s="5" t="s">
        <v>310</v>
      </c>
      <c r="I1789" s="5" t="s">
        <v>63</v>
      </c>
      <c r="J1789" s="5">
        <v>15.7731298</v>
      </c>
      <c r="K1789" s="5">
        <v>-96.139247400000002</v>
      </c>
      <c r="L1789" s="5" t="str">
        <f>HYPERLINK("https://maps.google.com/?q=15.7731298,-96.139247400000002", "🔗 Ver Mapa")</f>
        <v>🔗 Ver Mapa</v>
      </c>
    </row>
    <row r="1790" spans="1:12" ht="43.5" x14ac:dyDescent="0.35">
      <c r="A1790" s="6" t="s">
        <v>286</v>
      </c>
      <c r="B1790" s="6" t="s">
        <v>287</v>
      </c>
      <c r="C1790" s="6" t="s">
        <v>308</v>
      </c>
      <c r="D1790" s="6" t="s">
        <v>289</v>
      </c>
      <c r="E1790" s="6" t="s">
        <v>38</v>
      </c>
      <c r="F1790" s="6" t="s">
        <v>43</v>
      </c>
      <c r="G1790" s="6" t="s">
        <v>309</v>
      </c>
      <c r="H1790" s="6" t="s">
        <v>310</v>
      </c>
      <c r="I1790" s="6" t="s">
        <v>63</v>
      </c>
      <c r="J1790" s="6">
        <v>15.773149200000001</v>
      </c>
      <c r="K1790" s="6">
        <v>-96.139014299999999</v>
      </c>
      <c r="L1790" s="6" t="str">
        <f>HYPERLINK("https://maps.google.com/?q=15.7731492,-96.139014299999999", "🔗 Ver Mapa")</f>
        <v>🔗 Ver Mapa</v>
      </c>
    </row>
    <row r="1791" spans="1:12" ht="43.5" x14ac:dyDescent="0.35">
      <c r="A1791" s="5" t="s">
        <v>286</v>
      </c>
      <c r="B1791" s="5" t="s">
        <v>287</v>
      </c>
      <c r="C1791" s="5" t="s">
        <v>308</v>
      </c>
      <c r="D1791" s="5" t="s">
        <v>289</v>
      </c>
      <c r="E1791" s="5" t="s">
        <v>38</v>
      </c>
      <c r="F1791" s="5" t="s">
        <v>43</v>
      </c>
      <c r="G1791" s="5" t="s">
        <v>309</v>
      </c>
      <c r="H1791" s="5" t="s">
        <v>310</v>
      </c>
      <c r="I1791" s="5" t="s">
        <v>63</v>
      </c>
      <c r="J1791" s="5">
        <v>15.7731686</v>
      </c>
      <c r="K1791" s="5">
        <v>-96.138780499999996</v>
      </c>
      <c r="L1791" s="5" t="str">
        <f>HYPERLINK("https://maps.google.com/?q=15.7731686,-96.138780499999996", "🔗 Ver Mapa")</f>
        <v>🔗 Ver Mapa</v>
      </c>
    </row>
    <row r="1792" spans="1:12" ht="43.5" x14ac:dyDescent="0.35">
      <c r="A1792" s="6" t="s">
        <v>286</v>
      </c>
      <c r="B1792" s="6" t="s">
        <v>287</v>
      </c>
      <c r="C1792" s="6" t="s">
        <v>308</v>
      </c>
      <c r="D1792" s="6" t="s">
        <v>289</v>
      </c>
      <c r="E1792" s="6" t="s">
        <v>38</v>
      </c>
      <c r="F1792" s="6" t="s">
        <v>43</v>
      </c>
      <c r="G1792" s="6" t="s">
        <v>309</v>
      </c>
      <c r="H1792" s="6" t="s">
        <v>310</v>
      </c>
      <c r="I1792" s="6" t="s">
        <v>63</v>
      </c>
      <c r="J1792" s="6">
        <v>15.7731704</v>
      </c>
      <c r="K1792" s="6">
        <v>-96.141748000000007</v>
      </c>
      <c r="L1792" s="6" t="str">
        <f>HYPERLINK("https://maps.google.com/?q=15.7731704,-96.141748000000007", "🔗 Ver Mapa")</f>
        <v>🔗 Ver Mapa</v>
      </c>
    </row>
    <row r="1793" spans="1:12" ht="43.5" x14ac:dyDescent="0.35">
      <c r="A1793" s="5" t="s">
        <v>286</v>
      </c>
      <c r="B1793" s="5" t="s">
        <v>287</v>
      </c>
      <c r="C1793" s="5" t="s">
        <v>308</v>
      </c>
      <c r="D1793" s="5" t="s">
        <v>289</v>
      </c>
      <c r="E1793" s="5" t="s">
        <v>38</v>
      </c>
      <c r="F1793" s="5" t="s">
        <v>43</v>
      </c>
      <c r="G1793" s="5" t="s">
        <v>309</v>
      </c>
      <c r="H1793" s="5" t="s">
        <v>310</v>
      </c>
      <c r="I1793" s="5" t="s">
        <v>63</v>
      </c>
      <c r="J1793" s="5">
        <v>15.7731768</v>
      </c>
      <c r="K1793" s="5">
        <v>-96.136692100000005</v>
      </c>
      <c r="L1793" s="5" t="str">
        <f>HYPERLINK("https://maps.google.com/?q=15.7731768,-96.136692100000005", "🔗 Ver Mapa")</f>
        <v>🔗 Ver Mapa</v>
      </c>
    </row>
    <row r="1794" spans="1:12" ht="43.5" x14ac:dyDescent="0.35">
      <c r="A1794" s="6" t="s">
        <v>286</v>
      </c>
      <c r="B1794" s="6" t="s">
        <v>287</v>
      </c>
      <c r="C1794" s="6" t="s">
        <v>308</v>
      </c>
      <c r="D1794" s="6" t="s">
        <v>289</v>
      </c>
      <c r="E1794" s="6" t="s">
        <v>38</v>
      </c>
      <c r="F1794" s="6" t="s">
        <v>43</v>
      </c>
      <c r="G1794" s="6" t="s">
        <v>309</v>
      </c>
      <c r="H1794" s="6" t="s">
        <v>310</v>
      </c>
      <c r="I1794" s="6" t="s">
        <v>63</v>
      </c>
      <c r="J1794" s="6">
        <v>15.773187999999999</v>
      </c>
      <c r="K1794" s="6">
        <v>-96.138547000000003</v>
      </c>
      <c r="L1794" s="6" t="str">
        <f>HYPERLINK("https://maps.google.com/?q=15.773188,-96.138547000000003", "🔗 Ver Mapa")</f>
        <v>🔗 Ver Mapa</v>
      </c>
    </row>
    <row r="1795" spans="1:12" ht="43.5" x14ac:dyDescent="0.35">
      <c r="A1795" s="5" t="s">
        <v>286</v>
      </c>
      <c r="B1795" s="5" t="s">
        <v>287</v>
      </c>
      <c r="C1795" s="5" t="s">
        <v>308</v>
      </c>
      <c r="D1795" s="5" t="s">
        <v>289</v>
      </c>
      <c r="E1795" s="5" t="s">
        <v>38</v>
      </c>
      <c r="F1795" s="5" t="s">
        <v>43</v>
      </c>
      <c r="G1795" s="5" t="s">
        <v>309</v>
      </c>
      <c r="H1795" s="5" t="s">
        <v>310</v>
      </c>
      <c r="I1795" s="5" t="s">
        <v>63</v>
      </c>
      <c r="J1795" s="5">
        <v>15.773205000000001</v>
      </c>
      <c r="K1795" s="5">
        <v>-96.142012600000001</v>
      </c>
      <c r="L1795" s="5" t="str">
        <f>HYPERLINK("https://maps.google.com/?q=15.773205,-96.142012600000001", "🔗 Ver Mapa")</f>
        <v>🔗 Ver Mapa</v>
      </c>
    </row>
    <row r="1796" spans="1:12" ht="43.5" x14ac:dyDescent="0.35">
      <c r="A1796" s="6" t="s">
        <v>286</v>
      </c>
      <c r="B1796" s="6" t="s">
        <v>287</v>
      </c>
      <c r="C1796" s="6" t="s">
        <v>308</v>
      </c>
      <c r="D1796" s="6" t="s">
        <v>289</v>
      </c>
      <c r="E1796" s="6" t="s">
        <v>38</v>
      </c>
      <c r="F1796" s="6" t="s">
        <v>43</v>
      </c>
      <c r="G1796" s="6" t="s">
        <v>309</v>
      </c>
      <c r="H1796" s="6" t="s">
        <v>310</v>
      </c>
      <c r="I1796" s="6" t="s">
        <v>63</v>
      </c>
      <c r="J1796" s="6">
        <v>15.773207599999999</v>
      </c>
      <c r="K1796" s="6">
        <v>-96.138314199999996</v>
      </c>
      <c r="L1796" s="6" t="str">
        <f>HYPERLINK("https://maps.google.com/?q=15.7732076,-96.138314199999996", "🔗 Ver Mapa")</f>
        <v>🔗 Ver Mapa</v>
      </c>
    </row>
    <row r="1797" spans="1:12" ht="43.5" x14ac:dyDescent="0.35">
      <c r="A1797" s="5" t="s">
        <v>286</v>
      </c>
      <c r="B1797" s="5" t="s">
        <v>287</v>
      </c>
      <c r="C1797" s="5" t="s">
        <v>308</v>
      </c>
      <c r="D1797" s="5" t="s">
        <v>289</v>
      </c>
      <c r="E1797" s="5" t="s">
        <v>38</v>
      </c>
      <c r="F1797" s="5" t="s">
        <v>43</v>
      </c>
      <c r="G1797" s="5" t="s">
        <v>309</v>
      </c>
      <c r="H1797" s="5" t="s">
        <v>310</v>
      </c>
      <c r="I1797" s="5" t="s">
        <v>63</v>
      </c>
      <c r="J1797" s="5">
        <v>15.773226299999999</v>
      </c>
      <c r="K1797" s="5">
        <v>-96.138081900000003</v>
      </c>
      <c r="L1797" s="5" t="str">
        <f>HYPERLINK("https://maps.google.com/?q=15.7732263,-96.138081900000003", "🔗 Ver Mapa")</f>
        <v>🔗 Ver Mapa</v>
      </c>
    </row>
    <row r="1798" spans="1:12" ht="43.5" x14ac:dyDescent="0.35">
      <c r="A1798" s="6" t="s">
        <v>286</v>
      </c>
      <c r="B1798" s="6" t="s">
        <v>287</v>
      </c>
      <c r="C1798" s="6" t="s">
        <v>308</v>
      </c>
      <c r="D1798" s="6" t="s">
        <v>289</v>
      </c>
      <c r="E1798" s="6" t="s">
        <v>38</v>
      </c>
      <c r="F1798" s="6" t="s">
        <v>43</v>
      </c>
      <c r="G1798" s="6" t="s">
        <v>309</v>
      </c>
      <c r="H1798" s="6" t="s">
        <v>310</v>
      </c>
      <c r="I1798" s="6" t="s">
        <v>63</v>
      </c>
      <c r="J1798" s="6">
        <v>15.773228700000001</v>
      </c>
      <c r="K1798" s="6">
        <v>-96.136921700000002</v>
      </c>
      <c r="L1798" s="6" t="str">
        <f>HYPERLINK("https://maps.google.com/?q=15.7732287,-96.136921700000002", "🔗 Ver Mapa")</f>
        <v>🔗 Ver Mapa</v>
      </c>
    </row>
    <row r="1799" spans="1:12" ht="43.5" x14ac:dyDescent="0.35">
      <c r="A1799" s="5" t="s">
        <v>286</v>
      </c>
      <c r="B1799" s="5" t="s">
        <v>287</v>
      </c>
      <c r="C1799" s="5" t="s">
        <v>308</v>
      </c>
      <c r="D1799" s="5" t="s">
        <v>289</v>
      </c>
      <c r="E1799" s="5" t="s">
        <v>38</v>
      </c>
      <c r="F1799" s="5" t="s">
        <v>43</v>
      </c>
      <c r="G1799" s="5" t="s">
        <v>309</v>
      </c>
      <c r="H1799" s="5" t="s">
        <v>310</v>
      </c>
      <c r="I1799" s="5" t="s">
        <v>63</v>
      </c>
      <c r="J1799" s="5">
        <v>15.773243000000001</v>
      </c>
      <c r="K1799" s="5">
        <v>-96.137849399999993</v>
      </c>
      <c r="L1799" s="5" t="str">
        <f>HYPERLINK("https://maps.google.com/?q=15.773243,-96.137849399999993", "🔗 Ver Mapa")</f>
        <v>🔗 Ver Mapa</v>
      </c>
    </row>
    <row r="1800" spans="1:12" ht="43.5" x14ac:dyDescent="0.35">
      <c r="A1800" s="6" t="s">
        <v>286</v>
      </c>
      <c r="B1800" s="6" t="s">
        <v>287</v>
      </c>
      <c r="C1800" s="6" t="s">
        <v>308</v>
      </c>
      <c r="D1800" s="6" t="s">
        <v>289</v>
      </c>
      <c r="E1800" s="6" t="s">
        <v>38</v>
      </c>
      <c r="F1800" s="6" t="s">
        <v>43</v>
      </c>
      <c r="G1800" s="6" t="s">
        <v>309</v>
      </c>
      <c r="H1800" s="6" t="s">
        <v>310</v>
      </c>
      <c r="I1800" s="6" t="s">
        <v>63</v>
      </c>
      <c r="J1800" s="6">
        <v>15.7732574</v>
      </c>
      <c r="K1800" s="6">
        <v>-96.141959499999999</v>
      </c>
      <c r="L1800" s="6" t="str">
        <f>HYPERLINK("https://maps.google.com/?q=15.7732574,-96.141959499999999", "🔗 Ver Mapa")</f>
        <v>🔗 Ver Mapa</v>
      </c>
    </row>
    <row r="1801" spans="1:12" ht="43.5" x14ac:dyDescent="0.35">
      <c r="A1801" s="5" t="s">
        <v>286</v>
      </c>
      <c r="B1801" s="5" t="s">
        <v>287</v>
      </c>
      <c r="C1801" s="5" t="s">
        <v>308</v>
      </c>
      <c r="D1801" s="5" t="s">
        <v>289</v>
      </c>
      <c r="E1801" s="5" t="s">
        <v>38</v>
      </c>
      <c r="F1801" s="5" t="s">
        <v>43</v>
      </c>
      <c r="G1801" s="5" t="s">
        <v>309</v>
      </c>
      <c r="H1801" s="5" t="s">
        <v>310</v>
      </c>
      <c r="I1801" s="5" t="s">
        <v>63</v>
      </c>
      <c r="J1801" s="5">
        <v>15.773259700000001</v>
      </c>
      <c r="K1801" s="5">
        <v>-96.137616899999998</v>
      </c>
      <c r="L1801" s="5" t="str">
        <f>HYPERLINK("https://maps.google.com/?q=15.7732597,-96.137616899999998", "🔗 Ver Mapa")</f>
        <v>🔗 Ver Mapa</v>
      </c>
    </row>
    <row r="1802" spans="1:12" ht="43.5" x14ac:dyDescent="0.35">
      <c r="A1802" s="6" t="s">
        <v>286</v>
      </c>
      <c r="B1802" s="6" t="s">
        <v>287</v>
      </c>
      <c r="C1802" s="6" t="s">
        <v>308</v>
      </c>
      <c r="D1802" s="6" t="s">
        <v>289</v>
      </c>
      <c r="E1802" s="6" t="s">
        <v>38</v>
      </c>
      <c r="F1802" s="6" t="s">
        <v>43</v>
      </c>
      <c r="G1802" s="6" t="s">
        <v>309</v>
      </c>
      <c r="H1802" s="6" t="s">
        <v>310</v>
      </c>
      <c r="I1802" s="6" t="s">
        <v>63</v>
      </c>
      <c r="J1802" s="6">
        <v>15.7732753</v>
      </c>
      <c r="K1802" s="6">
        <v>-96.137150800000001</v>
      </c>
      <c r="L1802" s="6" t="str">
        <f>HYPERLINK("https://maps.google.com/?q=15.7732753,-96.137150800000001", "🔗 Ver Mapa")</f>
        <v>🔗 Ver Mapa</v>
      </c>
    </row>
    <row r="1803" spans="1:12" ht="43.5" x14ac:dyDescent="0.35">
      <c r="A1803" s="5" t="s">
        <v>286</v>
      </c>
      <c r="B1803" s="5" t="s">
        <v>287</v>
      </c>
      <c r="C1803" s="5" t="s">
        <v>308</v>
      </c>
      <c r="D1803" s="5" t="s">
        <v>289</v>
      </c>
      <c r="E1803" s="5" t="s">
        <v>38</v>
      </c>
      <c r="F1803" s="5" t="s">
        <v>43</v>
      </c>
      <c r="G1803" s="5" t="s">
        <v>309</v>
      </c>
      <c r="H1803" s="5" t="s">
        <v>310</v>
      </c>
      <c r="I1803" s="5" t="s">
        <v>63</v>
      </c>
      <c r="J1803" s="5">
        <v>15.7732764</v>
      </c>
      <c r="K1803" s="5">
        <v>-96.137384400000002</v>
      </c>
      <c r="L1803" s="5" t="str">
        <f>HYPERLINK("https://maps.google.com/?q=15.7732764,-96.137384400000002", "🔗 Ver Mapa")</f>
        <v>🔗 Ver Mapa</v>
      </c>
    </row>
    <row r="1804" spans="1:12" ht="43.5" x14ac:dyDescent="0.35">
      <c r="A1804" s="6" t="s">
        <v>286</v>
      </c>
      <c r="B1804" s="6" t="s">
        <v>287</v>
      </c>
      <c r="C1804" s="6" t="s">
        <v>308</v>
      </c>
      <c r="D1804" s="6" t="s">
        <v>289</v>
      </c>
      <c r="E1804" s="6" t="s">
        <v>38</v>
      </c>
      <c r="F1804" s="6" t="s">
        <v>43</v>
      </c>
      <c r="G1804" s="6" t="s">
        <v>309</v>
      </c>
      <c r="H1804" s="6" t="s">
        <v>310</v>
      </c>
      <c r="I1804" s="6" t="s">
        <v>63</v>
      </c>
      <c r="J1804" s="6">
        <v>15.773284500000001</v>
      </c>
      <c r="K1804" s="6">
        <v>-96.144299700000005</v>
      </c>
      <c r="L1804" s="6" t="str">
        <f>HYPERLINK("https://maps.google.com/?q=15.7732845,-96.144299700000005", "🔗 Ver Mapa")</f>
        <v>🔗 Ver Mapa</v>
      </c>
    </row>
    <row r="1805" spans="1:12" ht="43.5" x14ac:dyDescent="0.35">
      <c r="A1805" s="5" t="s">
        <v>286</v>
      </c>
      <c r="B1805" s="5" t="s">
        <v>287</v>
      </c>
      <c r="C1805" s="5" t="s">
        <v>308</v>
      </c>
      <c r="D1805" s="5" t="s">
        <v>289</v>
      </c>
      <c r="E1805" s="5" t="s">
        <v>38</v>
      </c>
      <c r="F1805" s="5" t="s">
        <v>43</v>
      </c>
      <c r="G1805" s="5" t="s">
        <v>309</v>
      </c>
      <c r="H1805" s="5" t="s">
        <v>310</v>
      </c>
      <c r="I1805" s="5" t="s">
        <v>63</v>
      </c>
      <c r="J1805" s="5">
        <v>15.7732963</v>
      </c>
      <c r="K1805" s="5">
        <v>-96.144470100000007</v>
      </c>
      <c r="L1805" s="5" t="str">
        <f>HYPERLINK("https://maps.google.com/?q=15.7732963,-96.144470100000007", "🔗 Ver Mapa")</f>
        <v>🔗 Ver Mapa</v>
      </c>
    </row>
    <row r="1806" spans="1:12" ht="43.5" x14ac:dyDescent="0.35">
      <c r="A1806" s="6" t="s">
        <v>286</v>
      </c>
      <c r="B1806" s="6" t="s">
        <v>287</v>
      </c>
      <c r="C1806" s="6" t="s">
        <v>308</v>
      </c>
      <c r="D1806" s="6" t="s">
        <v>289</v>
      </c>
      <c r="E1806" s="6" t="s">
        <v>38</v>
      </c>
      <c r="F1806" s="6" t="s">
        <v>43</v>
      </c>
      <c r="G1806" s="6" t="s">
        <v>309</v>
      </c>
      <c r="H1806" s="6" t="s">
        <v>310</v>
      </c>
      <c r="I1806" s="6" t="s">
        <v>63</v>
      </c>
      <c r="J1806" s="6">
        <v>15.773307600000001</v>
      </c>
      <c r="K1806" s="6">
        <v>-96.142221699999993</v>
      </c>
      <c r="L1806" s="6" t="str">
        <f>HYPERLINK("https://maps.google.com/?q=15.7733076,-96.142221699999993", "🔗 Ver Mapa")</f>
        <v>🔗 Ver Mapa</v>
      </c>
    </row>
    <row r="1807" spans="1:12" ht="43.5" x14ac:dyDescent="0.35">
      <c r="A1807" s="5" t="s">
        <v>286</v>
      </c>
      <c r="B1807" s="5" t="s">
        <v>287</v>
      </c>
      <c r="C1807" s="5" t="s">
        <v>308</v>
      </c>
      <c r="D1807" s="5" t="s">
        <v>289</v>
      </c>
      <c r="E1807" s="5" t="s">
        <v>38</v>
      </c>
      <c r="F1807" s="5" t="s">
        <v>43</v>
      </c>
      <c r="G1807" s="5" t="s">
        <v>309</v>
      </c>
      <c r="H1807" s="5" t="s">
        <v>310</v>
      </c>
      <c r="I1807" s="5" t="s">
        <v>63</v>
      </c>
      <c r="J1807" s="5">
        <v>15.773377099999999</v>
      </c>
      <c r="K1807" s="5">
        <v>-96.142162900000002</v>
      </c>
      <c r="L1807" s="5" t="str">
        <f>HYPERLINK("https://maps.google.com/?q=15.7733771,-96.142162900000002", "🔗 Ver Mapa")</f>
        <v>🔗 Ver Mapa</v>
      </c>
    </row>
    <row r="1808" spans="1:12" ht="43.5" x14ac:dyDescent="0.35">
      <c r="A1808" s="6" t="s">
        <v>286</v>
      </c>
      <c r="B1808" s="6" t="s">
        <v>287</v>
      </c>
      <c r="C1808" s="6" t="s">
        <v>308</v>
      </c>
      <c r="D1808" s="6" t="s">
        <v>289</v>
      </c>
      <c r="E1808" s="6" t="s">
        <v>38</v>
      </c>
      <c r="F1808" s="6" t="s">
        <v>43</v>
      </c>
      <c r="G1808" s="6" t="s">
        <v>309</v>
      </c>
      <c r="H1808" s="6" t="s">
        <v>310</v>
      </c>
      <c r="I1808" s="6" t="s">
        <v>63</v>
      </c>
      <c r="J1808" s="6">
        <v>15.7734185</v>
      </c>
      <c r="K1808" s="6">
        <v>-96.144273699999999</v>
      </c>
      <c r="L1808" s="6" t="str">
        <f>HYPERLINK("https://maps.google.com/?q=15.7734185,-96.144273699999999", "🔗 Ver Mapa")</f>
        <v>🔗 Ver Mapa</v>
      </c>
    </row>
    <row r="1809" spans="1:12" ht="43.5" x14ac:dyDescent="0.35">
      <c r="A1809" s="5" t="s">
        <v>286</v>
      </c>
      <c r="B1809" s="5" t="s">
        <v>287</v>
      </c>
      <c r="C1809" s="5" t="s">
        <v>308</v>
      </c>
      <c r="D1809" s="5" t="s">
        <v>289</v>
      </c>
      <c r="E1809" s="5" t="s">
        <v>38</v>
      </c>
      <c r="F1809" s="5" t="s">
        <v>43</v>
      </c>
      <c r="G1809" s="5" t="s">
        <v>309</v>
      </c>
      <c r="H1809" s="5" t="s">
        <v>310</v>
      </c>
      <c r="I1809" s="5" t="s">
        <v>63</v>
      </c>
      <c r="J1809" s="5">
        <v>15.7734334</v>
      </c>
      <c r="K1809" s="5">
        <v>-96.142415400000004</v>
      </c>
      <c r="L1809" s="5" t="str">
        <f>HYPERLINK("https://maps.google.com/?q=15.7734334,-96.142415400000004", "🔗 Ver Mapa")</f>
        <v>🔗 Ver Mapa</v>
      </c>
    </row>
    <row r="1810" spans="1:12" ht="43.5" x14ac:dyDescent="0.35">
      <c r="A1810" s="6" t="s">
        <v>286</v>
      </c>
      <c r="B1810" s="6" t="s">
        <v>287</v>
      </c>
      <c r="C1810" s="6" t="s">
        <v>308</v>
      </c>
      <c r="D1810" s="6" t="s">
        <v>289</v>
      </c>
      <c r="E1810" s="6" t="s">
        <v>38</v>
      </c>
      <c r="F1810" s="6" t="s">
        <v>43</v>
      </c>
      <c r="G1810" s="6" t="s">
        <v>309</v>
      </c>
      <c r="H1810" s="6" t="s">
        <v>310</v>
      </c>
      <c r="I1810" s="6" t="s">
        <v>63</v>
      </c>
      <c r="J1810" s="6">
        <v>15.773449599999999</v>
      </c>
      <c r="K1810" s="6">
        <v>-96.144139800000005</v>
      </c>
      <c r="L1810" s="6" t="str">
        <f>HYPERLINK("https://maps.google.com/?q=15.7734496,-96.144139800000005", "🔗 Ver Mapa")</f>
        <v>🔗 Ver Mapa</v>
      </c>
    </row>
    <row r="1811" spans="1:12" ht="43.5" x14ac:dyDescent="0.35">
      <c r="A1811" s="5" t="s">
        <v>286</v>
      </c>
      <c r="B1811" s="5" t="s">
        <v>287</v>
      </c>
      <c r="C1811" s="5" t="s">
        <v>308</v>
      </c>
      <c r="D1811" s="5" t="s">
        <v>289</v>
      </c>
      <c r="E1811" s="5" t="s">
        <v>38</v>
      </c>
      <c r="F1811" s="5" t="s">
        <v>43</v>
      </c>
      <c r="G1811" s="5" t="s">
        <v>309</v>
      </c>
      <c r="H1811" s="5" t="s">
        <v>310</v>
      </c>
      <c r="I1811" s="5" t="s">
        <v>63</v>
      </c>
      <c r="J1811" s="5">
        <v>15.773504000000001</v>
      </c>
      <c r="K1811" s="5">
        <v>-96.142360600000004</v>
      </c>
      <c r="L1811" s="5" t="str">
        <f>HYPERLINK("https://maps.google.com/?q=15.773504,-96.142360600000004", "🔗 Ver Mapa")</f>
        <v>🔗 Ver Mapa</v>
      </c>
    </row>
    <row r="1812" spans="1:12" ht="43.5" x14ac:dyDescent="0.35">
      <c r="A1812" s="6" t="s">
        <v>286</v>
      </c>
      <c r="B1812" s="6" t="s">
        <v>287</v>
      </c>
      <c r="C1812" s="6" t="s">
        <v>308</v>
      </c>
      <c r="D1812" s="6" t="s">
        <v>289</v>
      </c>
      <c r="E1812" s="6" t="s">
        <v>38</v>
      </c>
      <c r="F1812" s="6" t="s">
        <v>43</v>
      </c>
      <c r="G1812" s="6" t="s">
        <v>309</v>
      </c>
      <c r="H1812" s="6" t="s">
        <v>310</v>
      </c>
      <c r="I1812" s="6" t="s">
        <v>63</v>
      </c>
      <c r="J1812" s="6">
        <v>15.7735693</v>
      </c>
      <c r="K1812" s="6">
        <v>-96.142601499999998</v>
      </c>
      <c r="L1812" s="6" t="str">
        <f>HYPERLINK("https://maps.google.com/?q=15.7735693,-96.142601499999998", "🔗 Ver Mapa")</f>
        <v>🔗 Ver Mapa</v>
      </c>
    </row>
    <row r="1813" spans="1:12" ht="43.5" x14ac:dyDescent="0.35">
      <c r="A1813" s="5" t="s">
        <v>286</v>
      </c>
      <c r="B1813" s="5" t="s">
        <v>287</v>
      </c>
      <c r="C1813" s="5" t="s">
        <v>308</v>
      </c>
      <c r="D1813" s="5" t="s">
        <v>289</v>
      </c>
      <c r="E1813" s="5" t="s">
        <v>38</v>
      </c>
      <c r="F1813" s="5" t="s">
        <v>43</v>
      </c>
      <c r="G1813" s="5" t="s">
        <v>309</v>
      </c>
      <c r="H1813" s="5" t="s">
        <v>310</v>
      </c>
      <c r="I1813" s="5" t="s">
        <v>63</v>
      </c>
      <c r="J1813" s="5">
        <v>15.7735889</v>
      </c>
      <c r="K1813" s="5">
        <v>-96.144115400000004</v>
      </c>
      <c r="L1813" s="5" t="str">
        <f>HYPERLINK("https://maps.google.com/?q=15.7735889,-96.144115400000004", "🔗 Ver Mapa")</f>
        <v>🔗 Ver Mapa</v>
      </c>
    </row>
    <row r="1814" spans="1:12" ht="43.5" x14ac:dyDescent="0.35">
      <c r="A1814" s="6" t="s">
        <v>286</v>
      </c>
      <c r="B1814" s="6" t="s">
        <v>287</v>
      </c>
      <c r="C1814" s="6" t="s">
        <v>308</v>
      </c>
      <c r="D1814" s="6" t="s">
        <v>289</v>
      </c>
      <c r="E1814" s="6" t="s">
        <v>38</v>
      </c>
      <c r="F1814" s="6" t="s">
        <v>43</v>
      </c>
      <c r="G1814" s="6" t="s">
        <v>309</v>
      </c>
      <c r="H1814" s="6" t="s">
        <v>310</v>
      </c>
      <c r="I1814" s="6" t="s">
        <v>63</v>
      </c>
      <c r="J1814" s="6">
        <v>15.7736149</v>
      </c>
      <c r="K1814" s="6">
        <v>-96.143979200000004</v>
      </c>
      <c r="L1814" s="6" t="str">
        <f>HYPERLINK("https://maps.google.com/?q=15.7736149,-96.143979200000004", "🔗 Ver Mapa")</f>
        <v>🔗 Ver Mapa</v>
      </c>
    </row>
    <row r="1815" spans="1:12" ht="43.5" x14ac:dyDescent="0.35">
      <c r="A1815" s="5" t="s">
        <v>286</v>
      </c>
      <c r="B1815" s="5" t="s">
        <v>287</v>
      </c>
      <c r="C1815" s="5" t="s">
        <v>308</v>
      </c>
      <c r="D1815" s="5" t="s">
        <v>289</v>
      </c>
      <c r="E1815" s="5" t="s">
        <v>38</v>
      </c>
      <c r="F1815" s="5" t="s">
        <v>43</v>
      </c>
      <c r="G1815" s="5" t="s">
        <v>309</v>
      </c>
      <c r="H1815" s="5" t="s">
        <v>310</v>
      </c>
      <c r="I1815" s="5" t="s">
        <v>63</v>
      </c>
      <c r="J1815" s="5">
        <v>15.773634400000001</v>
      </c>
      <c r="K1815" s="5">
        <v>-96.142552600000002</v>
      </c>
      <c r="L1815" s="5" t="str">
        <f>HYPERLINK("https://maps.google.com/?q=15.7736344,-96.142552600000002", "🔗 Ver Mapa")</f>
        <v>🔗 Ver Mapa</v>
      </c>
    </row>
    <row r="1816" spans="1:12" ht="43.5" x14ac:dyDescent="0.35">
      <c r="A1816" s="6" t="s">
        <v>286</v>
      </c>
      <c r="B1816" s="6" t="s">
        <v>287</v>
      </c>
      <c r="C1816" s="6" t="s">
        <v>308</v>
      </c>
      <c r="D1816" s="6" t="s">
        <v>289</v>
      </c>
      <c r="E1816" s="6" t="s">
        <v>38</v>
      </c>
      <c r="F1816" s="6" t="s">
        <v>43</v>
      </c>
      <c r="G1816" s="6" t="s">
        <v>309</v>
      </c>
      <c r="H1816" s="6" t="s">
        <v>310</v>
      </c>
      <c r="I1816" s="6" t="s">
        <v>63</v>
      </c>
      <c r="J1816" s="6">
        <v>15.7737076</v>
      </c>
      <c r="K1816" s="6">
        <v>-96.142785799999999</v>
      </c>
      <c r="L1816" s="6" t="str">
        <f>HYPERLINK("https://maps.google.com/?q=15.7737076,-96.142785799999999", "🔗 Ver Mapa")</f>
        <v>🔗 Ver Mapa</v>
      </c>
    </row>
    <row r="1817" spans="1:12" ht="43.5" x14ac:dyDescent="0.35">
      <c r="A1817" s="5" t="s">
        <v>286</v>
      </c>
      <c r="B1817" s="5" t="s">
        <v>287</v>
      </c>
      <c r="C1817" s="5" t="s">
        <v>308</v>
      </c>
      <c r="D1817" s="5" t="s">
        <v>289</v>
      </c>
      <c r="E1817" s="5" t="s">
        <v>38</v>
      </c>
      <c r="F1817" s="5" t="s">
        <v>43</v>
      </c>
      <c r="G1817" s="5" t="s">
        <v>309</v>
      </c>
      <c r="H1817" s="5" t="s">
        <v>310</v>
      </c>
      <c r="I1817" s="5" t="s">
        <v>63</v>
      </c>
      <c r="J1817" s="5">
        <v>15.7737573</v>
      </c>
      <c r="K1817" s="5">
        <v>-96.143956700000004</v>
      </c>
      <c r="L1817" s="5" t="str">
        <f>HYPERLINK("https://maps.google.com/?q=15.7737573,-96.143956700000004", "🔗 Ver Mapa")</f>
        <v>🔗 Ver Mapa</v>
      </c>
    </row>
    <row r="1818" spans="1:12" ht="43.5" x14ac:dyDescent="0.35">
      <c r="A1818" s="6" t="s">
        <v>286</v>
      </c>
      <c r="B1818" s="6" t="s">
        <v>287</v>
      </c>
      <c r="C1818" s="6" t="s">
        <v>308</v>
      </c>
      <c r="D1818" s="6" t="s">
        <v>289</v>
      </c>
      <c r="E1818" s="6" t="s">
        <v>38</v>
      </c>
      <c r="F1818" s="6" t="s">
        <v>43</v>
      </c>
      <c r="G1818" s="6" t="s">
        <v>309</v>
      </c>
      <c r="H1818" s="6" t="s">
        <v>310</v>
      </c>
      <c r="I1818" s="6" t="s">
        <v>63</v>
      </c>
      <c r="J1818" s="6">
        <v>15.7737721</v>
      </c>
      <c r="K1818" s="6">
        <v>-96.143810400000007</v>
      </c>
      <c r="L1818" s="6" t="str">
        <f>HYPERLINK("https://maps.google.com/?q=15.7737721,-96.143810400000007", "🔗 Ver Mapa")</f>
        <v>🔗 Ver Mapa</v>
      </c>
    </row>
    <row r="1819" spans="1:12" ht="43.5" x14ac:dyDescent="0.35">
      <c r="A1819" s="5" t="s">
        <v>286</v>
      </c>
      <c r="B1819" s="5" t="s">
        <v>287</v>
      </c>
      <c r="C1819" s="5" t="s">
        <v>308</v>
      </c>
      <c r="D1819" s="5" t="s">
        <v>289</v>
      </c>
      <c r="E1819" s="5" t="s">
        <v>38</v>
      </c>
      <c r="F1819" s="5" t="s">
        <v>43</v>
      </c>
      <c r="G1819" s="5" t="s">
        <v>309</v>
      </c>
      <c r="H1819" s="5" t="s">
        <v>310</v>
      </c>
      <c r="I1819" s="5" t="s">
        <v>63</v>
      </c>
      <c r="J1819" s="5">
        <v>15.7737771</v>
      </c>
      <c r="K1819" s="5">
        <v>-96.142732699999996</v>
      </c>
      <c r="L1819" s="5" t="str">
        <f>HYPERLINK("https://maps.google.com/?q=15.7737771,-96.142732699999996", "🔗 Ver Mapa")</f>
        <v>🔗 Ver Mapa</v>
      </c>
    </row>
    <row r="1820" spans="1:12" ht="43.5" x14ac:dyDescent="0.35">
      <c r="A1820" s="6" t="s">
        <v>286</v>
      </c>
      <c r="B1820" s="6" t="s">
        <v>287</v>
      </c>
      <c r="C1820" s="6" t="s">
        <v>308</v>
      </c>
      <c r="D1820" s="6" t="s">
        <v>289</v>
      </c>
      <c r="E1820" s="6" t="s">
        <v>38</v>
      </c>
      <c r="F1820" s="6" t="s">
        <v>43</v>
      </c>
      <c r="G1820" s="6" t="s">
        <v>309</v>
      </c>
      <c r="H1820" s="6" t="s">
        <v>310</v>
      </c>
      <c r="I1820" s="6" t="s">
        <v>63</v>
      </c>
      <c r="J1820" s="6">
        <v>15.7738415</v>
      </c>
      <c r="K1820" s="6">
        <v>-96.142973499999997</v>
      </c>
      <c r="L1820" s="6" t="str">
        <f>HYPERLINK("https://maps.google.com/?q=15.7738415,-96.142973499999997", "🔗 Ver Mapa")</f>
        <v>🔗 Ver Mapa</v>
      </c>
    </row>
    <row r="1821" spans="1:12" ht="43.5" x14ac:dyDescent="0.35">
      <c r="A1821" s="5" t="s">
        <v>286</v>
      </c>
      <c r="B1821" s="5" t="s">
        <v>287</v>
      </c>
      <c r="C1821" s="5" t="s">
        <v>308</v>
      </c>
      <c r="D1821" s="5" t="s">
        <v>289</v>
      </c>
      <c r="E1821" s="5" t="s">
        <v>38</v>
      </c>
      <c r="F1821" s="5" t="s">
        <v>43</v>
      </c>
      <c r="G1821" s="5" t="s">
        <v>309</v>
      </c>
      <c r="H1821" s="5" t="s">
        <v>310</v>
      </c>
      <c r="I1821" s="5" t="s">
        <v>63</v>
      </c>
      <c r="J1821" s="5">
        <v>15.7739008</v>
      </c>
      <c r="K1821" s="5">
        <v>-96.143620400000003</v>
      </c>
      <c r="L1821" s="5" t="str">
        <f>HYPERLINK("https://maps.google.com/?q=15.7739008,-96.143620400000003", "🔗 Ver Mapa")</f>
        <v>🔗 Ver Mapa</v>
      </c>
    </row>
    <row r="1822" spans="1:12" ht="43.5" x14ac:dyDescent="0.35">
      <c r="A1822" s="6" t="s">
        <v>286</v>
      </c>
      <c r="B1822" s="6" t="s">
        <v>287</v>
      </c>
      <c r="C1822" s="6" t="s">
        <v>308</v>
      </c>
      <c r="D1822" s="6" t="s">
        <v>289</v>
      </c>
      <c r="E1822" s="6" t="s">
        <v>38</v>
      </c>
      <c r="F1822" s="6" t="s">
        <v>43</v>
      </c>
      <c r="G1822" s="6" t="s">
        <v>309</v>
      </c>
      <c r="H1822" s="6" t="s">
        <v>310</v>
      </c>
      <c r="I1822" s="6" t="s">
        <v>63</v>
      </c>
      <c r="J1822" s="6">
        <v>15.7739066</v>
      </c>
      <c r="K1822" s="6">
        <v>-96.143782799999997</v>
      </c>
      <c r="L1822" s="6" t="str">
        <f>HYPERLINK("https://maps.google.com/?q=15.7739066,-96.143782799999997", "🔗 Ver Mapa")</f>
        <v>🔗 Ver Mapa</v>
      </c>
    </row>
    <row r="1823" spans="1:12" ht="43.5" x14ac:dyDescent="0.35">
      <c r="A1823" s="5" t="s">
        <v>286</v>
      </c>
      <c r="B1823" s="5" t="s">
        <v>287</v>
      </c>
      <c r="C1823" s="5" t="s">
        <v>308</v>
      </c>
      <c r="D1823" s="5" t="s">
        <v>289</v>
      </c>
      <c r="E1823" s="5" t="s">
        <v>38</v>
      </c>
      <c r="F1823" s="5" t="s">
        <v>43</v>
      </c>
      <c r="G1823" s="5" t="s">
        <v>309</v>
      </c>
      <c r="H1823" s="5" t="s">
        <v>310</v>
      </c>
      <c r="I1823" s="5" t="s">
        <v>63</v>
      </c>
      <c r="J1823" s="5">
        <v>15.7739207</v>
      </c>
      <c r="K1823" s="5">
        <v>-96.142915200000004</v>
      </c>
      <c r="L1823" s="5" t="str">
        <f>HYPERLINK("https://maps.google.com/?q=15.7739207,-96.142915200000004", "🔗 Ver Mapa")</f>
        <v>🔗 Ver Mapa</v>
      </c>
    </row>
    <row r="1824" spans="1:12" ht="43.5" x14ac:dyDescent="0.35">
      <c r="A1824" s="6" t="s">
        <v>286</v>
      </c>
      <c r="B1824" s="6" t="s">
        <v>287</v>
      </c>
      <c r="C1824" s="6" t="s">
        <v>308</v>
      </c>
      <c r="D1824" s="6" t="s">
        <v>289</v>
      </c>
      <c r="E1824" s="6" t="s">
        <v>38</v>
      </c>
      <c r="F1824" s="6" t="s">
        <v>43</v>
      </c>
      <c r="G1824" s="6" t="s">
        <v>309</v>
      </c>
      <c r="H1824" s="6" t="s">
        <v>310</v>
      </c>
      <c r="I1824" s="6" t="s">
        <v>63</v>
      </c>
      <c r="J1824" s="6">
        <v>15.7739666</v>
      </c>
      <c r="K1824" s="6">
        <v>-96.143167700000006</v>
      </c>
      <c r="L1824" s="6" t="str">
        <f>HYPERLINK("https://maps.google.com/?q=15.7739666,-96.143167700000006", "🔗 Ver Mapa")</f>
        <v>🔗 Ver Mapa</v>
      </c>
    </row>
    <row r="1825" spans="1:12" ht="43.5" x14ac:dyDescent="0.35">
      <c r="A1825" s="5" t="s">
        <v>286</v>
      </c>
      <c r="B1825" s="5" t="s">
        <v>287</v>
      </c>
      <c r="C1825" s="5" t="s">
        <v>308</v>
      </c>
      <c r="D1825" s="5" t="s">
        <v>289</v>
      </c>
      <c r="E1825" s="5" t="s">
        <v>38</v>
      </c>
      <c r="F1825" s="5" t="s">
        <v>43</v>
      </c>
      <c r="G1825" s="5" t="s">
        <v>309</v>
      </c>
      <c r="H1825" s="5" t="s">
        <v>310</v>
      </c>
      <c r="I1825" s="5" t="s">
        <v>63</v>
      </c>
      <c r="J1825" s="5">
        <v>15.773976599999999</v>
      </c>
      <c r="K1825" s="5">
        <v>-96.143400700000001</v>
      </c>
      <c r="L1825" s="5" t="str">
        <f>HYPERLINK("https://maps.google.com/?q=15.7739766,-96.143400700000001", "🔗 Ver Mapa")</f>
        <v>🔗 Ver Mapa</v>
      </c>
    </row>
    <row r="1826" spans="1:12" ht="43.5" x14ac:dyDescent="0.35">
      <c r="A1826" s="6" t="s">
        <v>286</v>
      </c>
      <c r="B1826" s="6" t="s">
        <v>287</v>
      </c>
      <c r="C1826" s="6" t="s">
        <v>308</v>
      </c>
      <c r="D1826" s="6" t="s">
        <v>289</v>
      </c>
      <c r="E1826" s="6" t="s">
        <v>38</v>
      </c>
      <c r="F1826" s="6" t="s">
        <v>43</v>
      </c>
      <c r="G1826" s="6" t="s">
        <v>309</v>
      </c>
      <c r="H1826" s="6" t="s">
        <v>310</v>
      </c>
      <c r="I1826" s="6" t="s">
        <v>63</v>
      </c>
      <c r="J1826" s="6">
        <v>15.774028899999999</v>
      </c>
      <c r="K1826" s="6">
        <v>-96.143585900000005</v>
      </c>
      <c r="L1826" s="6" t="str">
        <f>HYPERLINK("https://maps.google.com/?q=15.7740289,-96.143585900000005", "🔗 Ver Mapa")</f>
        <v>🔗 Ver Mapa</v>
      </c>
    </row>
    <row r="1827" spans="1:12" ht="43.5" x14ac:dyDescent="0.35">
      <c r="A1827" s="5" t="s">
        <v>286</v>
      </c>
      <c r="B1827" s="5" t="s">
        <v>287</v>
      </c>
      <c r="C1827" s="5" t="s">
        <v>308</v>
      </c>
      <c r="D1827" s="5" t="s">
        <v>289</v>
      </c>
      <c r="E1827" s="5" t="s">
        <v>38</v>
      </c>
      <c r="F1827" s="5" t="s">
        <v>43</v>
      </c>
      <c r="G1827" s="5" t="s">
        <v>309</v>
      </c>
      <c r="H1827" s="5" t="s">
        <v>310</v>
      </c>
      <c r="I1827" s="5" t="s">
        <v>63</v>
      </c>
      <c r="J1827" s="5">
        <v>15.774038900000001</v>
      </c>
      <c r="K1827" s="5">
        <v>-96.143119200000001</v>
      </c>
      <c r="L1827" s="5" t="str">
        <f>HYPERLINK("https://maps.google.com/?q=15.7740389,-96.143119200000001", "🔗 Ver Mapa")</f>
        <v>🔗 Ver Mapa</v>
      </c>
    </row>
    <row r="1828" spans="1:12" ht="43.5" x14ac:dyDescent="0.35">
      <c r="A1828" s="6" t="s">
        <v>286</v>
      </c>
      <c r="B1828" s="6" t="s">
        <v>287</v>
      </c>
      <c r="C1828" s="6" t="s">
        <v>308</v>
      </c>
      <c r="D1828" s="6" t="s">
        <v>289</v>
      </c>
      <c r="E1828" s="6" t="s">
        <v>38</v>
      </c>
      <c r="F1828" s="6" t="s">
        <v>43</v>
      </c>
      <c r="G1828" s="6" t="s">
        <v>309</v>
      </c>
      <c r="H1828" s="6" t="s">
        <v>310</v>
      </c>
      <c r="I1828" s="6" t="s">
        <v>63</v>
      </c>
      <c r="J1828" s="6">
        <v>15.7740822</v>
      </c>
      <c r="K1828" s="6">
        <v>-96.143351300000006</v>
      </c>
      <c r="L1828" s="6" t="str">
        <f>HYPERLINK("https://maps.google.com/?q=15.7740822,-96.143351300000006", "🔗 Ver Mapa")</f>
        <v>🔗 Ver Mapa</v>
      </c>
    </row>
    <row r="1829" spans="1:12" ht="58" x14ac:dyDescent="0.35">
      <c r="A1829" s="5" t="s">
        <v>286</v>
      </c>
      <c r="B1829" s="5" t="s">
        <v>287</v>
      </c>
      <c r="C1829" s="5" t="s">
        <v>311</v>
      </c>
      <c r="D1829" s="5" t="s">
        <v>289</v>
      </c>
      <c r="E1829" s="5" t="s">
        <v>312</v>
      </c>
      <c r="F1829" s="5" t="s">
        <v>313</v>
      </c>
      <c r="G1829" s="5" t="s">
        <v>314</v>
      </c>
      <c r="H1829" s="5" t="s">
        <v>315</v>
      </c>
      <c r="I1829" s="5" t="s">
        <v>63</v>
      </c>
      <c r="J1829" s="5">
        <v>17.777131000000001</v>
      </c>
      <c r="K1829" s="5">
        <v>-96.307385100000005</v>
      </c>
      <c r="L1829" s="5" t="str">
        <f>HYPERLINK("https://maps.google.com/?q=17.777131,-96.3073851", "🔗 Ver Mapa")</f>
        <v>🔗 Ver Mapa</v>
      </c>
    </row>
    <row r="1830" spans="1:12" ht="58" x14ac:dyDescent="0.35">
      <c r="A1830" s="6" t="s">
        <v>286</v>
      </c>
      <c r="B1830" s="6" t="s">
        <v>287</v>
      </c>
      <c r="C1830" s="6" t="s">
        <v>311</v>
      </c>
      <c r="D1830" s="6" t="s">
        <v>289</v>
      </c>
      <c r="E1830" s="6" t="s">
        <v>312</v>
      </c>
      <c r="F1830" s="6" t="s">
        <v>313</v>
      </c>
      <c r="G1830" s="6" t="s">
        <v>314</v>
      </c>
      <c r="H1830" s="6" t="s">
        <v>315</v>
      </c>
      <c r="I1830" s="6" t="s">
        <v>63</v>
      </c>
      <c r="J1830" s="6">
        <v>17.779074319999999</v>
      </c>
      <c r="K1830" s="6">
        <v>-96.307919949999999</v>
      </c>
      <c r="L1830" s="6" t="str">
        <f>HYPERLINK("https://maps.google.com/?q=17.77907432,-96.30791995", "🔗 Ver Mapa")</f>
        <v>🔗 Ver Mapa</v>
      </c>
    </row>
    <row r="1831" spans="1:12" ht="58" x14ac:dyDescent="0.35">
      <c r="A1831" s="5" t="s">
        <v>286</v>
      </c>
      <c r="B1831" s="5" t="s">
        <v>287</v>
      </c>
      <c r="C1831" s="5" t="s">
        <v>311</v>
      </c>
      <c r="D1831" s="5" t="s">
        <v>289</v>
      </c>
      <c r="E1831" s="5" t="s">
        <v>312</v>
      </c>
      <c r="F1831" s="5" t="s">
        <v>313</v>
      </c>
      <c r="G1831" s="5" t="s">
        <v>314</v>
      </c>
      <c r="H1831" s="5" t="s">
        <v>315</v>
      </c>
      <c r="I1831" s="5" t="s">
        <v>63</v>
      </c>
      <c r="J1831" s="5">
        <v>17.782039789999999</v>
      </c>
      <c r="K1831" s="5">
        <v>-96.308777210000002</v>
      </c>
      <c r="L1831" s="5" t="str">
        <f>HYPERLINK("https://maps.google.com/?q=17.78203979,-96.30877721", "🔗 Ver Mapa")</f>
        <v>🔗 Ver Mapa</v>
      </c>
    </row>
    <row r="1832" spans="1:12" ht="72.5" x14ac:dyDescent="0.35">
      <c r="A1832" s="6" t="s">
        <v>154</v>
      </c>
      <c r="B1832" s="6" t="s">
        <v>155</v>
      </c>
      <c r="C1832" s="6" t="s">
        <v>316</v>
      </c>
      <c r="D1832" s="6" t="s">
        <v>157</v>
      </c>
      <c r="E1832" s="6" t="s">
        <v>37</v>
      </c>
      <c r="F1832" s="6" t="s">
        <v>83</v>
      </c>
      <c r="G1832" s="6" t="s">
        <v>317</v>
      </c>
      <c r="H1832" s="6" t="s">
        <v>318</v>
      </c>
      <c r="I1832" s="6" t="s">
        <v>63</v>
      </c>
      <c r="J1832" s="6">
        <v>17.232084</v>
      </c>
      <c r="K1832" s="6">
        <v>-96.811936000000003</v>
      </c>
      <c r="L1832" s="6" t="str">
        <f>HYPERLINK("https://maps.google.com/?q=17.232084,-96.811936", "🔗 Ver Mapa")</f>
        <v>🔗 Ver Mapa</v>
      </c>
    </row>
    <row r="1833" spans="1:12" ht="72.5" x14ac:dyDescent="0.35">
      <c r="A1833" s="5" t="s">
        <v>154</v>
      </c>
      <c r="B1833" s="5" t="s">
        <v>155</v>
      </c>
      <c r="C1833" s="5" t="s">
        <v>316</v>
      </c>
      <c r="D1833" s="5" t="s">
        <v>157</v>
      </c>
      <c r="E1833" s="5" t="s">
        <v>37</v>
      </c>
      <c r="F1833" s="5" t="s">
        <v>83</v>
      </c>
      <c r="G1833" s="5" t="s">
        <v>317</v>
      </c>
      <c r="H1833" s="5" t="s">
        <v>318</v>
      </c>
      <c r="I1833" s="5" t="s">
        <v>63</v>
      </c>
      <c r="J1833" s="5">
        <v>17.273078999999999</v>
      </c>
      <c r="K1833" s="5">
        <v>-96.799574000000007</v>
      </c>
      <c r="L1833" s="5" t="str">
        <f>HYPERLINK("https://maps.google.com/?q=17.273079,-96.799574", "🔗 Ver Mapa")</f>
        <v>🔗 Ver Mapa</v>
      </c>
    </row>
    <row r="1834" spans="1:12" ht="72.5" x14ac:dyDescent="0.35">
      <c r="A1834" s="6" t="s">
        <v>154</v>
      </c>
      <c r="B1834" s="6" t="s">
        <v>155</v>
      </c>
      <c r="C1834" s="6" t="s">
        <v>316</v>
      </c>
      <c r="D1834" s="6" t="s">
        <v>157</v>
      </c>
      <c r="E1834" s="6" t="s">
        <v>37</v>
      </c>
      <c r="F1834" s="6" t="s">
        <v>83</v>
      </c>
      <c r="G1834" s="6" t="s">
        <v>317</v>
      </c>
      <c r="H1834" s="6" t="s">
        <v>318</v>
      </c>
      <c r="I1834" s="6" t="s">
        <v>63</v>
      </c>
      <c r="J1834" s="6">
        <v>17.330676</v>
      </c>
      <c r="K1834" s="6">
        <v>-96.772019999999998</v>
      </c>
      <c r="L1834" s="6" t="str">
        <f>HYPERLINK("https://maps.google.com/?q=17.330676,-96.772020", "🔗 Ver Mapa")</f>
        <v>🔗 Ver Mapa</v>
      </c>
    </row>
    <row r="1835" spans="1:12" ht="72.5" x14ac:dyDescent="0.35">
      <c r="A1835" s="5" t="s">
        <v>199</v>
      </c>
      <c r="B1835" s="5" t="s">
        <v>200</v>
      </c>
      <c r="C1835" s="5" t="s">
        <v>319</v>
      </c>
      <c r="D1835" s="5" t="s">
        <v>202</v>
      </c>
      <c r="E1835" s="5" t="s">
        <v>209</v>
      </c>
      <c r="F1835" s="5" t="s">
        <v>320</v>
      </c>
      <c r="G1835" s="5" t="s">
        <v>321</v>
      </c>
      <c r="H1835" s="5" t="s">
        <v>322</v>
      </c>
      <c r="I1835" s="5" t="s">
        <v>63</v>
      </c>
      <c r="J1835" s="5">
        <v>17.026619</v>
      </c>
      <c r="K1835" s="5">
        <v>-96.046970000000002</v>
      </c>
      <c r="L1835" s="5" t="str">
        <f>HYPERLINK("https://maps.google.com/?q=17.026619,-96.046970", "🔗 Ver Mapa")</f>
        <v>🔗 Ver Mapa</v>
      </c>
    </row>
    <row r="1836" spans="1:12" ht="72.5" x14ac:dyDescent="0.35">
      <c r="A1836" s="6" t="s">
        <v>199</v>
      </c>
      <c r="B1836" s="6" t="s">
        <v>200</v>
      </c>
      <c r="C1836" s="6" t="s">
        <v>323</v>
      </c>
      <c r="D1836" s="6" t="s">
        <v>202</v>
      </c>
      <c r="E1836" s="6" t="s">
        <v>128</v>
      </c>
      <c r="F1836" s="6" t="s">
        <v>203</v>
      </c>
      <c r="G1836" s="6" t="s">
        <v>324</v>
      </c>
      <c r="H1836" s="6" t="s">
        <v>325</v>
      </c>
      <c r="I1836" s="6" t="s">
        <v>63</v>
      </c>
      <c r="J1836" s="6">
        <v>17.721007650015999</v>
      </c>
      <c r="K1836" s="6">
        <v>-97.869275736098999</v>
      </c>
      <c r="L1836" s="6" t="str">
        <f>HYPERLINK("https://maps.google.com/?q=17.72100765001568,-97.86927573609931", "🔗 Ver Mapa")</f>
        <v>🔗 Ver Mapa</v>
      </c>
    </row>
    <row r="1837" spans="1:12" ht="58" x14ac:dyDescent="0.35">
      <c r="A1837" s="5" t="s">
        <v>199</v>
      </c>
      <c r="B1837" s="5" t="s">
        <v>200</v>
      </c>
      <c r="C1837" s="5" t="s">
        <v>326</v>
      </c>
      <c r="D1837" s="5" t="s">
        <v>202</v>
      </c>
      <c r="E1837" s="5" t="s">
        <v>128</v>
      </c>
      <c r="F1837" s="5" t="s">
        <v>129</v>
      </c>
      <c r="G1837" s="5" t="s">
        <v>130</v>
      </c>
      <c r="H1837" s="5" t="s">
        <v>149</v>
      </c>
      <c r="I1837" s="5" t="s">
        <v>63</v>
      </c>
      <c r="J1837" s="5">
        <v>17.176732999999999</v>
      </c>
      <c r="K1837" s="5">
        <v>-97.722357000000002</v>
      </c>
      <c r="L1837" s="5" t="str">
        <f>HYPERLINK("https://maps.google.com/?q=17.176733,-97.722357", "🔗 Ver Mapa")</f>
        <v>🔗 Ver Mapa</v>
      </c>
    </row>
    <row r="1838" spans="1:12" ht="72.5" x14ac:dyDescent="0.35">
      <c r="A1838" s="6" t="s">
        <v>199</v>
      </c>
      <c r="B1838" s="6" t="s">
        <v>200</v>
      </c>
      <c r="C1838" s="6" t="s">
        <v>327</v>
      </c>
      <c r="D1838" s="6" t="s">
        <v>202</v>
      </c>
      <c r="E1838" s="6" t="s">
        <v>39</v>
      </c>
      <c r="F1838" s="6" t="s">
        <v>44</v>
      </c>
      <c r="G1838" s="6" t="s">
        <v>328</v>
      </c>
      <c r="H1838" s="6" t="s">
        <v>329</v>
      </c>
      <c r="I1838" s="6" t="s">
        <v>63</v>
      </c>
      <c r="J1838" s="6">
        <v>16.397673140218998</v>
      </c>
      <c r="K1838" s="6">
        <v>-95.611156523958996</v>
      </c>
      <c r="L1838" s="6" t="str">
        <f>HYPERLINK("https://maps.google.com/?q=16.397673140219048,-95.61115652395854", "🔗 Ver Mapa")</f>
        <v>🔗 Ver Mapa</v>
      </c>
    </row>
    <row r="1839" spans="1:12" ht="43.5" x14ac:dyDescent="0.35">
      <c r="A1839" s="5" t="s">
        <v>330</v>
      </c>
      <c r="B1839" s="5" t="s">
        <v>331</v>
      </c>
      <c r="C1839" s="5" t="s">
        <v>332</v>
      </c>
      <c r="D1839" s="5" t="s">
        <v>333</v>
      </c>
      <c r="E1839" s="5" t="s">
        <v>37</v>
      </c>
      <c r="F1839" s="5" t="s">
        <v>41</v>
      </c>
      <c r="G1839" s="5" t="s">
        <v>47</v>
      </c>
      <c r="H1839" s="5" t="s">
        <v>54</v>
      </c>
      <c r="I1839" s="5" t="s">
        <v>63</v>
      </c>
      <c r="J1839" s="5">
        <v>17.055030294043</v>
      </c>
      <c r="K1839" s="5">
        <v>-96.653813940644</v>
      </c>
      <c r="L1839" s="5" t="str">
        <f>HYPERLINK("https://maps.google.com/?q=17.055030294043057,-96.65381394064433", "🔗 Ver Mapa")</f>
        <v>🔗 Ver Mapa</v>
      </c>
    </row>
    <row r="1840" spans="1:12" ht="43.5" x14ac:dyDescent="0.35">
      <c r="A1840" s="6" t="s">
        <v>2</v>
      </c>
      <c r="B1840" s="6" t="s">
        <v>10</v>
      </c>
      <c r="C1840" s="6" t="s">
        <v>334</v>
      </c>
      <c r="D1840" s="6" t="s">
        <v>31</v>
      </c>
      <c r="E1840" s="6" t="s">
        <v>37</v>
      </c>
      <c r="F1840" s="6" t="s">
        <v>41</v>
      </c>
      <c r="G1840" s="6" t="s">
        <v>335</v>
      </c>
      <c r="H1840" s="6" t="s">
        <v>336</v>
      </c>
      <c r="I1840" s="6" t="s">
        <v>63</v>
      </c>
      <c r="J1840" s="6">
        <v>17.014667500000002</v>
      </c>
      <c r="K1840" s="6" t="s">
        <v>337</v>
      </c>
      <c r="L1840" s="6" t="str">
        <f>HYPERLINK("https://maps.google.com/?q=17.0146675, -96.7496224", "🔗 Ver Mapa")</f>
        <v>🔗 Ver Mapa</v>
      </c>
    </row>
    <row r="1841" spans="1:12" ht="43.5" x14ac:dyDescent="0.35">
      <c r="A1841" s="5" t="s">
        <v>2</v>
      </c>
      <c r="B1841" s="5" t="s">
        <v>10</v>
      </c>
      <c r="C1841" s="5" t="s">
        <v>334</v>
      </c>
      <c r="D1841" s="5" t="s">
        <v>31</v>
      </c>
      <c r="E1841" s="5" t="s">
        <v>37</v>
      </c>
      <c r="F1841" s="5" t="s">
        <v>41</v>
      </c>
      <c r="G1841" s="5" t="s">
        <v>335</v>
      </c>
      <c r="H1841" s="5" t="s">
        <v>336</v>
      </c>
      <c r="I1841" s="5" t="s">
        <v>63</v>
      </c>
      <c r="J1841" s="5">
        <v>17.0925221</v>
      </c>
      <c r="K1841" s="5">
        <v>-96.739111199999996</v>
      </c>
      <c r="L1841" s="5" t="str">
        <f>HYPERLINK("https://maps.google.com/?q=17.0925221,-96.7391112", "🔗 Ver Mapa")</f>
        <v>🔗 Ver Mapa</v>
      </c>
    </row>
    <row r="1842" spans="1:12" ht="58" x14ac:dyDescent="0.35">
      <c r="A1842" s="6" t="s">
        <v>154</v>
      </c>
      <c r="B1842" s="6" t="s">
        <v>155</v>
      </c>
      <c r="C1842" s="6" t="s">
        <v>338</v>
      </c>
      <c r="D1842" s="6" t="s">
        <v>157</v>
      </c>
      <c r="E1842" s="6" t="s">
        <v>339</v>
      </c>
      <c r="F1842" s="6" t="s">
        <v>340</v>
      </c>
      <c r="G1842" s="6" t="s">
        <v>341</v>
      </c>
      <c r="H1842" s="6" t="s">
        <v>342</v>
      </c>
      <c r="I1842" s="6" t="s">
        <v>63</v>
      </c>
      <c r="J1842" s="6">
        <v>17.859708000000001</v>
      </c>
      <c r="K1842" s="6">
        <v>-96.587789000000001</v>
      </c>
      <c r="L1842" s="6" t="str">
        <f>HYPERLINK("https://maps.google.com/?q=17.859708,-96.587789", "🔗 Ver Mapa")</f>
        <v>🔗 Ver Mapa</v>
      </c>
    </row>
    <row r="1843" spans="1:12" ht="58" x14ac:dyDescent="0.35">
      <c r="A1843" s="5" t="s">
        <v>154</v>
      </c>
      <c r="B1843" s="5" t="s">
        <v>155</v>
      </c>
      <c r="C1843" s="5" t="s">
        <v>338</v>
      </c>
      <c r="D1843" s="5" t="s">
        <v>157</v>
      </c>
      <c r="E1843" s="5" t="s">
        <v>339</v>
      </c>
      <c r="F1843" s="5" t="s">
        <v>340</v>
      </c>
      <c r="G1843" s="5" t="s">
        <v>341</v>
      </c>
      <c r="H1843" s="5" t="s">
        <v>342</v>
      </c>
      <c r="I1843" s="5" t="s">
        <v>63</v>
      </c>
      <c r="J1843" s="5">
        <v>17.875029999999999</v>
      </c>
      <c r="K1843" s="5">
        <v>-96.596727000000001</v>
      </c>
      <c r="L1843" s="5" t="str">
        <f>HYPERLINK("https://maps.google.com/?q=17.87503,-96.596727", "🔗 Ver Mapa")</f>
        <v>🔗 Ver Mapa</v>
      </c>
    </row>
    <row r="1844" spans="1:12" ht="58" x14ac:dyDescent="0.35">
      <c r="A1844" s="6" t="s">
        <v>154</v>
      </c>
      <c r="B1844" s="6" t="s">
        <v>155</v>
      </c>
      <c r="C1844" s="6" t="s">
        <v>338</v>
      </c>
      <c r="D1844" s="6" t="s">
        <v>157</v>
      </c>
      <c r="E1844" s="6" t="s">
        <v>339</v>
      </c>
      <c r="F1844" s="6" t="s">
        <v>340</v>
      </c>
      <c r="G1844" s="6" t="s">
        <v>341</v>
      </c>
      <c r="H1844" s="6" t="s">
        <v>342</v>
      </c>
      <c r="I1844" s="6" t="s">
        <v>63</v>
      </c>
      <c r="J1844" s="6">
        <v>17.881485999999999</v>
      </c>
      <c r="K1844" s="6">
        <v>-96.613844999999998</v>
      </c>
      <c r="L1844" s="6" t="str">
        <f>HYPERLINK("https://maps.google.com/?q=17.881486,-96.613845", "🔗 Ver Mapa")</f>
        <v>🔗 Ver Mapa</v>
      </c>
    </row>
    <row r="1845" spans="1:12" ht="58" x14ac:dyDescent="0.35">
      <c r="A1845" s="5" t="s">
        <v>199</v>
      </c>
      <c r="B1845" s="5" t="s">
        <v>200</v>
      </c>
      <c r="C1845" s="5" t="s">
        <v>343</v>
      </c>
      <c r="D1845" s="5" t="s">
        <v>202</v>
      </c>
      <c r="E1845" s="5" t="s">
        <v>128</v>
      </c>
      <c r="F1845" s="5" t="s">
        <v>203</v>
      </c>
      <c r="G1845" s="5" t="s">
        <v>344</v>
      </c>
      <c r="H1845" s="5" t="s">
        <v>345</v>
      </c>
      <c r="I1845" s="5" t="s">
        <v>63</v>
      </c>
      <c r="J1845" s="5">
        <v>18.197003397433001</v>
      </c>
      <c r="K1845" s="5">
        <v>-97.675944526463994</v>
      </c>
      <c r="L1845" s="5" t="str">
        <f>HYPERLINK("https://maps.google.com/?q=18.197003397433214,-97.67594452646429", "🔗 Ver Mapa")</f>
        <v>🔗 Ver Mapa</v>
      </c>
    </row>
    <row r="1846" spans="1:12" ht="58" x14ac:dyDescent="0.35">
      <c r="A1846" s="6" t="s">
        <v>199</v>
      </c>
      <c r="B1846" s="6" t="s">
        <v>200</v>
      </c>
      <c r="C1846" s="6" t="s">
        <v>346</v>
      </c>
      <c r="D1846" s="6" t="s">
        <v>202</v>
      </c>
      <c r="E1846" s="6" t="s">
        <v>37</v>
      </c>
      <c r="F1846" s="6" t="s">
        <v>78</v>
      </c>
      <c r="G1846" s="6" t="s">
        <v>347</v>
      </c>
      <c r="H1846" s="6" t="s">
        <v>348</v>
      </c>
      <c r="I1846" s="6" t="s">
        <v>63</v>
      </c>
      <c r="J1846" s="6">
        <v>16.679437101592999</v>
      </c>
      <c r="K1846" s="6">
        <v>-96.654132332554994</v>
      </c>
      <c r="L1846" s="6" t="str">
        <f>HYPERLINK("https://maps.google.com/?q=16.679437101593447,-96.6541323325546", "🔗 Ver Mapa")</f>
        <v>🔗 Ver Mapa</v>
      </c>
    </row>
    <row r="1847" spans="1:12" ht="72.5" x14ac:dyDescent="0.35">
      <c r="A1847" s="5" t="s">
        <v>286</v>
      </c>
      <c r="B1847" s="5" t="s">
        <v>287</v>
      </c>
      <c r="C1847" s="5" t="s">
        <v>349</v>
      </c>
      <c r="D1847" s="5" t="s">
        <v>303</v>
      </c>
      <c r="E1847" s="5" t="s">
        <v>128</v>
      </c>
      <c r="F1847" s="5" t="s">
        <v>203</v>
      </c>
      <c r="G1847" s="5" t="s">
        <v>350</v>
      </c>
      <c r="H1847" s="5" t="s">
        <v>351</v>
      </c>
      <c r="I1847" s="5" t="s">
        <v>63</v>
      </c>
      <c r="J1847" s="5">
        <v>17.821068</v>
      </c>
      <c r="K1847" s="5">
        <v>-97.732741000000004</v>
      </c>
      <c r="L1847" s="5" t="str">
        <f>HYPERLINK("https://maps.google.com/?q=17.821068,-97.732741000000004", "🔗 Ver Mapa")</f>
        <v>🔗 Ver Mapa</v>
      </c>
    </row>
    <row r="1848" spans="1:12" ht="72.5" x14ac:dyDescent="0.35">
      <c r="A1848" s="6" t="s">
        <v>286</v>
      </c>
      <c r="B1848" s="6" t="s">
        <v>287</v>
      </c>
      <c r="C1848" s="6" t="s">
        <v>349</v>
      </c>
      <c r="D1848" s="6" t="s">
        <v>303</v>
      </c>
      <c r="E1848" s="6" t="s">
        <v>128</v>
      </c>
      <c r="F1848" s="6" t="s">
        <v>203</v>
      </c>
      <c r="G1848" s="6" t="s">
        <v>350</v>
      </c>
      <c r="H1848" s="6" t="s">
        <v>351</v>
      </c>
      <c r="I1848" s="6" t="s">
        <v>63</v>
      </c>
      <c r="J1848" s="6">
        <v>17.821403</v>
      </c>
      <c r="K1848" s="6">
        <v>-97.732729000000006</v>
      </c>
      <c r="L1848" s="6" t="str">
        <f>HYPERLINK("https://maps.google.com/?q=17.821403,-97.732729000000006", "🔗 Ver Mapa")</f>
        <v>🔗 Ver Mapa</v>
      </c>
    </row>
    <row r="1849" spans="1:12" ht="72.5" x14ac:dyDescent="0.35">
      <c r="A1849" s="5" t="s">
        <v>286</v>
      </c>
      <c r="B1849" s="5" t="s">
        <v>287</v>
      </c>
      <c r="C1849" s="5" t="s">
        <v>349</v>
      </c>
      <c r="D1849" s="5" t="s">
        <v>303</v>
      </c>
      <c r="E1849" s="5" t="s">
        <v>128</v>
      </c>
      <c r="F1849" s="5" t="s">
        <v>203</v>
      </c>
      <c r="G1849" s="5" t="s">
        <v>350</v>
      </c>
      <c r="H1849" s="5" t="s">
        <v>351</v>
      </c>
      <c r="I1849" s="5" t="s">
        <v>63</v>
      </c>
      <c r="J1849" s="5">
        <v>17.821728</v>
      </c>
      <c r="K1849" s="5">
        <v>-97.732708000000002</v>
      </c>
      <c r="L1849" s="5" t="str">
        <f>HYPERLINK("https://maps.google.com/?q=17.821728,-97.732708000000002", "🔗 Ver Mapa")</f>
        <v>🔗 Ver Mapa</v>
      </c>
    </row>
    <row r="1850" spans="1:12" ht="72.5" x14ac:dyDescent="0.35">
      <c r="A1850" s="6" t="s">
        <v>286</v>
      </c>
      <c r="B1850" s="6" t="s">
        <v>287</v>
      </c>
      <c r="C1850" s="6" t="s">
        <v>349</v>
      </c>
      <c r="D1850" s="6" t="s">
        <v>303</v>
      </c>
      <c r="E1850" s="6" t="s">
        <v>128</v>
      </c>
      <c r="F1850" s="6" t="s">
        <v>203</v>
      </c>
      <c r="G1850" s="6" t="s">
        <v>350</v>
      </c>
      <c r="H1850" s="6" t="s">
        <v>351</v>
      </c>
      <c r="I1850" s="6" t="s">
        <v>63</v>
      </c>
      <c r="J1850" s="6">
        <v>17.821963</v>
      </c>
      <c r="K1850" s="6">
        <v>-97.732686000000001</v>
      </c>
      <c r="L1850" s="6" t="str">
        <f>HYPERLINK("https://maps.google.com/?q=17.821963,-97.732686000000001", "🔗 Ver Mapa")</f>
        <v>🔗 Ver Mapa</v>
      </c>
    </row>
    <row r="1851" spans="1:12" ht="72.5" x14ac:dyDescent="0.35">
      <c r="A1851" s="5" t="s">
        <v>286</v>
      </c>
      <c r="B1851" s="5" t="s">
        <v>287</v>
      </c>
      <c r="C1851" s="5" t="s">
        <v>349</v>
      </c>
      <c r="D1851" s="5" t="s">
        <v>303</v>
      </c>
      <c r="E1851" s="5" t="s">
        <v>128</v>
      </c>
      <c r="F1851" s="5" t="s">
        <v>203</v>
      </c>
      <c r="G1851" s="5" t="s">
        <v>350</v>
      </c>
      <c r="H1851" s="5" t="s">
        <v>351</v>
      </c>
      <c r="I1851" s="5" t="s">
        <v>63</v>
      </c>
      <c r="J1851" s="5">
        <v>17.822323000000001</v>
      </c>
      <c r="K1851" s="5">
        <v>-97.732685000000004</v>
      </c>
      <c r="L1851" s="5" t="str">
        <f>HYPERLINK("https://maps.google.com/?q=17.822323,-97.732685000000004", "🔗 Ver Mapa")</f>
        <v>🔗 Ver Mapa</v>
      </c>
    </row>
    <row r="1852" spans="1:12" ht="72.5" x14ac:dyDescent="0.35">
      <c r="A1852" s="6" t="s">
        <v>286</v>
      </c>
      <c r="B1852" s="6" t="s">
        <v>287</v>
      </c>
      <c r="C1852" s="6" t="s">
        <v>349</v>
      </c>
      <c r="D1852" s="6" t="s">
        <v>303</v>
      </c>
      <c r="E1852" s="6" t="s">
        <v>128</v>
      </c>
      <c r="F1852" s="6" t="s">
        <v>203</v>
      </c>
      <c r="G1852" s="6" t="s">
        <v>350</v>
      </c>
      <c r="H1852" s="6" t="s">
        <v>351</v>
      </c>
      <c r="I1852" s="6" t="s">
        <v>63</v>
      </c>
      <c r="J1852" s="6">
        <v>17.822568</v>
      </c>
      <c r="K1852" s="6">
        <v>-97.732645000000005</v>
      </c>
      <c r="L1852" s="6" t="str">
        <f>HYPERLINK("https://maps.google.com/?q=17.822568,-97.732645000000005", "🔗 Ver Mapa")</f>
        <v>🔗 Ver Mapa</v>
      </c>
    </row>
    <row r="1853" spans="1:12" ht="72.5" x14ac:dyDescent="0.35">
      <c r="A1853" s="5" t="s">
        <v>286</v>
      </c>
      <c r="B1853" s="5" t="s">
        <v>287</v>
      </c>
      <c r="C1853" s="5" t="s">
        <v>349</v>
      </c>
      <c r="D1853" s="5" t="s">
        <v>303</v>
      </c>
      <c r="E1853" s="5" t="s">
        <v>128</v>
      </c>
      <c r="F1853" s="5" t="s">
        <v>203</v>
      </c>
      <c r="G1853" s="5" t="s">
        <v>350</v>
      </c>
      <c r="H1853" s="5" t="s">
        <v>351</v>
      </c>
      <c r="I1853" s="5" t="s">
        <v>63</v>
      </c>
      <c r="J1853" s="5">
        <v>17.82283</v>
      </c>
      <c r="K1853" s="5">
        <v>-97.732641999999998</v>
      </c>
      <c r="L1853" s="5" t="str">
        <f>HYPERLINK("https://maps.google.com/?q=17.82283,-97.732641999999998", "🔗 Ver Mapa")</f>
        <v>🔗 Ver Mapa</v>
      </c>
    </row>
    <row r="1854" spans="1:12" ht="72.5" x14ac:dyDescent="0.35">
      <c r="A1854" s="6" t="s">
        <v>286</v>
      </c>
      <c r="B1854" s="6" t="s">
        <v>287</v>
      </c>
      <c r="C1854" s="6" t="s">
        <v>349</v>
      </c>
      <c r="D1854" s="6" t="s">
        <v>303</v>
      </c>
      <c r="E1854" s="6" t="s">
        <v>128</v>
      </c>
      <c r="F1854" s="6" t="s">
        <v>203</v>
      </c>
      <c r="G1854" s="6" t="s">
        <v>350</v>
      </c>
      <c r="H1854" s="6" t="s">
        <v>351</v>
      </c>
      <c r="I1854" s="6" t="s">
        <v>63</v>
      </c>
      <c r="J1854" s="6">
        <v>17.823181000000002</v>
      </c>
      <c r="K1854" s="6">
        <v>-97.732574</v>
      </c>
      <c r="L1854" s="6" t="str">
        <f>HYPERLINK("https://maps.google.com/?q=17.823181,-97.732574", "🔗 Ver Mapa")</f>
        <v>🔗 Ver Mapa</v>
      </c>
    </row>
    <row r="1855" spans="1:12" ht="72.5" x14ac:dyDescent="0.35">
      <c r="A1855" s="5" t="s">
        <v>286</v>
      </c>
      <c r="B1855" s="5" t="s">
        <v>287</v>
      </c>
      <c r="C1855" s="5" t="s">
        <v>349</v>
      </c>
      <c r="D1855" s="5" t="s">
        <v>303</v>
      </c>
      <c r="E1855" s="5" t="s">
        <v>128</v>
      </c>
      <c r="F1855" s="5" t="s">
        <v>203</v>
      </c>
      <c r="G1855" s="5" t="s">
        <v>350</v>
      </c>
      <c r="H1855" s="5" t="s">
        <v>351</v>
      </c>
      <c r="I1855" s="5" t="s">
        <v>63</v>
      </c>
      <c r="J1855" s="5">
        <v>17.823488000000001</v>
      </c>
      <c r="K1855" s="5">
        <v>-97.732534000000001</v>
      </c>
      <c r="L1855" s="5" t="str">
        <f>HYPERLINK("https://maps.google.com/?q=17.823488,-97.732534000000001", "🔗 Ver Mapa")</f>
        <v>🔗 Ver Mapa</v>
      </c>
    </row>
    <row r="1856" spans="1:12" ht="72.5" x14ac:dyDescent="0.35">
      <c r="A1856" s="6" t="s">
        <v>286</v>
      </c>
      <c r="B1856" s="6" t="s">
        <v>287</v>
      </c>
      <c r="C1856" s="6" t="s">
        <v>349</v>
      </c>
      <c r="D1856" s="6" t="s">
        <v>303</v>
      </c>
      <c r="E1856" s="6" t="s">
        <v>128</v>
      </c>
      <c r="F1856" s="6" t="s">
        <v>203</v>
      </c>
      <c r="G1856" s="6" t="s">
        <v>350</v>
      </c>
      <c r="H1856" s="6" t="s">
        <v>351</v>
      </c>
      <c r="I1856" s="6" t="s">
        <v>63</v>
      </c>
      <c r="J1856" s="6">
        <v>17.82376</v>
      </c>
      <c r="K1856" s="6">
        <v>-97.732476000000005</v>
      </c>
      <c r="L1856" s="6" t="str">
        <f>HYPERLINK("https://maps.google.com/?q=17.82376,-97.732476000000005", "🔗 Ver Mapa")</f>
        <v>🔗 Ver Mapa</v>
      </c>
    </row>
    <row r="1857" spans="1:12" ht="72.5" x14ac:dyDescent="0.35">
      <c r="A1857" s="5" t="s">
        <v>286</v>
      </c>
      <c r="B1857" s="5" t="s">
        <v>287</v>
      </c>
      <c r="C1857" s="5" t="s">
        <v>349</v>
      </c>
      <c r="D1857" s="5" t="s">
        <v>303</v>
      </c>
      <c r="E1857" s="5" t="s">
        <v>128</v>
      </c>
      <c r="F1857" s="5" t="s">
        <v>203</v>
      </c>
      <c r="G1857" s="5" t="s">
        <v>350</v>
      </c>
      <c r="H1857" s="5" t="s">
        <v>351</v>
      </c>
      <c r="I1857" s="5" t="s">
        <v>63</v>
      </c>
      <c r="J1857" s="5">
        <v>17.823958000000001</v>
      </c>
      <c r="K1857" s="5">
        <v>-97.732427000000001</v>
      </c>
      <c r="L1857" s="5" t="str">
        <f>HYPERLINK("https://maps.google.com/?q=17.823958,-97.732427000000001", "🔗 Ver Mapa")</f>
        <v>🔗 Ver Mapa</v>
      </c>
    </row>
    <row r="1858" spans="1:12" ht="72.5" x14ac:dyDescent="0.35">
      <c r="A1858" s="6" t="s">
        <v>286</v>
      </c>
      <c r="B1858" s="6" t="s">
        <v>287</v>
      </c>
      <c r="C1858" s="6" t="s">
        <v>349</v>
      </c>
      <c r="D1858" s="6" t="s">
        <v>303</v>
      </c>
      <c r="E1858" s="6" t="s">
        <v>128</v>
      </c>
      <c r="F1858" s="6" t="s">
        <v>203</v>
      </c>
      <c r="G1858" s="6" t="s">
        <v>350</v>
      </c>
      <c r="H1858" s="6" t="s">
        <v>351</v>
      </c>
      <c r="I1858" s="6" t="s">
        <v>63</v>
      </c>
      <c r="J1858" s="6">
        <v>17.824164</v>
      </c>
      <c r="K1858" s="6">
        <v>-97.732095000000001</v>
      </c>
      <c r="L1858" s="6" t="str">
        <f>HYPERLINK("https://maps.google.com/?q=17.824164,-97.732095000000001", "🔗 Ver Mapa")</f>
        <v>🔗 Ver Mapa</v>
      </c>
    </row>
    <row r="1859" spans="1:12" ht="72.5" x14ac:dyDescent="0.35">
      <c r="A1859" s="5" t="s">
        <v>286</v>
      </c>
      <c r="B1859" s="5" t="s">
        <v>287</v>
      </c>
      <c r="C1859" s="5" t="s">
        <v>349</v>
      </c>
      <c r="D1859" s="5" t="s">
        <v>303</v>
      </c>
      <c r="E1859" s="5" t="s">
        <v>128</v>
      </c>
      <c r="F1859" s="5" t="s">
        <v>203</v>
      </c>
      <c r="G1859" s="5" t="s">
        <v>350</v>
      </c>
      <c r="H1859" s="5" t="s">
        <v>351</v>
      </c>
      <c r="I1859" s="5" t="s">
        <v>63</v>
      </c>
      <c r="J1859" s="5">
        <v>17.824318000000002</v>
      </c>
      <c r="K1859" s="5">
        <v>-97.732377</v>
      </c>
      <c r="L1859" s="5" t="str">
        <f>HYPERLINK("https://maps.google.com/?q=17.824318,-97.732377", "🔗 Ver Mapa")</f>
        <v>🔗 Ver Mapa</v>
      </c>
    </row>
    <row r="1860" spans="1:12" ht="72.5" x14ac:dyDescent="0.35">
      <c r="A1860" s="6" t="s">
        <v>286</v>
      </c>
      <c r="B1860" s="6" t="s">
        <v>287</v>
      </c>
      <c r="C1860" s="6" t="s">
        <v>349</v>
      </c>
      <c r="D1860" s="6" t="s">
        <v>303</v>
      </c>
      <c r="E1860" s="6" t="s">
        <v>128</v>
      </c>
      <c r="F1860" s="6" t="s">
        <v>203</v>
      </c>
      <c r="G1860" s="6" t="s">
        <v>350</v>
      </c>
      <c r="H1860" s="6" t="s">
        <v>351</v>
      </c>
      <c r="I1860" s="6" t="s">
        <v>63</v>
      </c>
      <c r="J1860" s="6">
        <v>17.824369000000001</v>
      </c>
      <c r="K1860" s="6">
        <v>-97.731819999999999</v>
      </c>
      <c r="L1860" s="6" t="str">
        <f>HYPERLINK("https://maps.google.com/?q=17.824369,-97.731819999999999", "🔗 Ver Mapa")</f>
        <v>🔗 Ver Mapa</v>
      </c>
    </row>
    <row r="1861" spans="1:12" ht="72.5" x14ac:dyDescent="0.35">
      <c r="A1861" s="5" t="s">
        <v>199</v>
      </c>
      <c r="B1861" s="5" t="s">
        <v>200</v>
      </c>
      <c r="C1861" s="5" t="s">
        <v>352</v>
      </c>
      <c r="D1861" s="5" t="s">
        <v>202</v>
      </c>
      <c r="E1861" s="5" t="s">
        <v>339</v>
      </c>
      <c r="F1861" s="5" t="s">
        <v>353</v>
      </c>
      <c r="G1861" s="5" t="s">
        <v>354</v>
      </c>
      <c r="H1861" s="5" t="s">
        <v>355</v>
      </c>
      <c r="I1861" s="5" t="s">
        <v>63</v>
      </c>
      <c r="J1861" s="5">
        <v>17.852884</v>
      </c>
      <c r="K1861" s="5">
        <v>-97.194815000000006</v>
      </c>
      <c r="L1861" s="5" t="str">
        <f>HYPERLINK("https://maps.google.com/?q=17.852884,-97.194815", "🔗 Ver Mapa")</f>
        <v>🔗 Ver Mapa</v>
      </c>
    </row>
    <row r="1862" spans="1:12" ht="72.5" x14ac:dyDescent="0.35">
      <c r="A1862" s="6" t="s">
        <v>199</v>
      </c>
      <c r="B1862" s="6" t="s">
        <v>200</v>
      </c>
      <c r="C1862" s="6" t="s">
        <v>356</v>
      </c>
      <c r="D1862" s="6" t="s">
        <v>202</v>
      </c>
      <c r="E1862" s="6" t="s">
        <v>128</v>
      </c>
      <c r="F1862" s="6" t="s">
        <v>203</v>
      </c>
      <c r="G1862" s="6" t="s">
        <v>357</v>
      </c>
      <c r="H1862" s="6" t="s">
        <v>358</v>
      </c>
      <c r="I1862" s="6" t="s">
        <v>63</v>
      </c>
      <c r="J1862" s="6">
        <v>17.672040135147999</v>
      </c>
      <c r="K1862" s="6">
        <v>-97.964210842466997</v>
      </c>
      <c r="L1862" s="6" t="str">
        <f>HYPERLINK("https://maps.google.com/?q=17.672040135147718,-97.96421084246737", "🔗 Ver Mapa")</f>
        <v>🔗 Ver Mapa</v>
      </c>
    </row>
    <row r="1863" spans="1:12" ht="43.5" x14ac:dyDescent="0.35">
      <c r="A1863" s="5" t="s">
        <v>359</v>
      </c>
      <c r="B1863" s="5" t="s">
        <v>360</v>
      </c>
      <c r="C1863" s="5" t="s">
        <v>361</v>
      </c>
      <c r="D1863" s="5" t="s">
        <v>31</v>
      </c>
      <c r="E1863" s="5" t="s">
        <v>362</v>
      </c>
      <c r="F1863" s="5" t="s">
        <v>363</v>
      </c>
      <c r="G1863" s="5" t="s">
        <v>364</v>
      </c>
      <c r="H1863" s="5" t="s">
        <v>365</v>
      </c>
      <c r="I1863" s="5" t="s">
        <v>63</v>
      </c>
      <c r="J1863" s="5">
        <v>15.746143999999999</v>
      </c>
      <c r="K1863" s="5">
        <v>-96.465182999999996</v>
      </c>
      <c r="L1863" s="5" t="str">
        <f>HYPERLINK("https://maps.google.com/?q=15.746144,-96.465182999999996", "🔗 Ver Mapa")</f>
        <v>🔗 Ver Mapa</v>
      </c>
    </row>
    <row r="1864" spans="1:12" ht="43.5" x14ac:dyDescent="0.35">
      <c r="A1864" s="6" t="s">
        <v>359</v>
      </c>
      <c r="B1864" s="6" t="s">
        <v>360</v>
      </c>
      <c r="C1864" s="6" t="s">
        <v>361</v>
      </c>
      <c r="D1864" s="6" t="s">
        <v>31</v>
      </c>
      <c r="E1864" s="6" t="s">
        <v>362</v>
      </c>
      <c r="F1864" s="6" t="s">
        <v>363</v>
      </c>
      <c r="G1864" s="6" t="s">
        <v>364</v>
      </c>
      <c r="H1864" s="6" t="s">
        <v>365</v>
      </c>
      <c r="I1864" s="6" t="s">
        <v>63</v>
      </c>
      <c r="J1864" s="6">
        <v>16.237075999999998</v>
      </c>
      <c r="K1864" s="6">
        <v>-97.292351999999994</v>
      </c>
      <c r="L1864" s="6" t="str">
        <f>HYPERLINK("https://maps.google.com/?q=16.237076,-97.292351999999994", "🔗 Ver Mapa")</f>
        <v>🔗 Ver Mapa</v>
      </c>
    </row>
    <row r="1865" spans="1:12" ht="43.5" x14ac:dyDescent="0.35">
      <c r="A1865" s="5" t="s">
        <v>359</v>
      </c>
      <c r="B1865" s="5" t="s">
        <v>360</v>
      </c>
      <c r="C1865" s="5" t="s">
        <v>361</v>
      </c>
      <c r="D1865" s="5" t="s">
        <v>31</v>
      </c>
      <c r="E1865" s="5" t="s">
        <v>362</v>
      </c>
      <c r="F1865" s="5" t="s">
        <v>363</v>
      </c>
      <c r="G1865" s="5" t="s">
        <v>364</v>
      </c>
      <c r="H1865" s="5" t="s">
        <v>365</v>
      </c>
      <c r="I1865" s="5" t="s">
        <v>63</v>
      </c>
      <c r="J1865" s="5">
        <v>16.279057999999999</v>
      </c>
      <c r="K1865" s="5">
        <v>-97.820240999999996</v>
      </c>
      <c r="L1865" s="5" t="str">
        <f>HYPERLINK("https://maps.google.com/?q=16.279058,-97.820240999999996", "🔗 Ver Mapa")</f>
        <v>🔗 Ver Mapa</v>
      </c>
    </row>
    <row r="1866" spans="1:12" ht="43.5" x14ac:dyDescent="0.35">
      <c r="A1866" s="6" t="s">
        <v>359</v>
      </c>
      <c r="B1866" s="6" t="s">
        <v>360</v>
      </c>
      <c r="C1866" s="6" t="s">
        <v>361</v>
      </c>
      <c r="D1866" s="6" t="s">
        <v>31</v>
      </c>
      <c r="E1866" s="6" t="s">
        <v>362</v>
      </c>
      <c r="F1866" s="6" t="s">
        <v>363</v>
      </c>
      <c r="G1866" s="6" t="s">
        <v>364</v>
      </c>
      <c r="H1866" s="6" t="s">
        <v>365</v>
      </c>
      <c r="I1866" s="6" t="s">
        <v>63</v>
      </c>
      <c r="J1866" s="6">
        <v>16.328751</v>
      </c>
      <c r="K1866" s="6">
        <v>-96.596529000000004</v>
      </c>
      <c r="L1866" s="6" t="str">
        <f>HYPERLINK("https://maps.google.com/?q=16.328751,-96.596529000000004", "🔗 Ver Mapa")</f>
        <v>🔗 Ver Mapa</v>
      </c>
    </row>
    <row r="1867" spans="1:12" ht="43.5" x14ac:dyDescent="0.35">
      <c r="A1867" s="5" t="s">
        <v>359</v>
      </c>
      <c r="B1867" s="5" t="s">
        <v>360</v>
      </c>
      <c r="C1867" s="5" t="s">
        <v>361</v>
      </c>
      <c r="D1867" s="5" t="s">
        <v>31</v>
      </c>
      <c r="E1867" s="5" t="s">
        <v>362</v>
      </c>
      <c r="F1867" s="5" t="s">
        <v>363</v>
      </c>
      <c r="G1867" s="5" t="s">
        <v>364</v>
      </c>
      <c r="H1867" s="5" t="s">
        <v>365</v>
      </c>
      <c r="I1867" s="5" t="s">
        <v>63</v>
      </c>
      <c r="J1867" s="5">
        <v>16.332014000000001</v>
      </c>
      <c r="K1867" s="5">
        <v>-95.231966</v>
      </c>
      <c r="L1867" s="5" t="str">
        <f>HYPERLINK("https://maps.google.com/?q=16.332014,-95.231966", "🔗 Ver Mapa")</f>
        <v>🔗 Ver Mapa</v>
      </c>
    </row>
    <row r="1868" spans="1:12" ht="43.5" x14ac:dyDescent="0.35">
      <c r="A1868" s="6" t="s">
        <v>359</v>
      </c>
      <c r="B1868" s="6" t="s">
        <v>360</v>
      </c>
      <c r="C1868" s="6" t="s">
        <v>361</v>
      </c>
      <c r="D1868" s="6" t="s">
        <v>31</v>
      </c>
      <c r="E1868" s="6" t="s">
        <v>362</v>
      </c>
      <c r="F1868" s="6" t="s">
        <v>363</v>
      </c>
      <c r="G1868" s="6" t="s">
        <v>364</v>
      </c>
      <c r="H1868" s="6" t="s">
        <v>365</v>
      </c>
      <c r="I1868" s="6" t="s">
        <v>63</v>
      </c>
      <c r="J1868" s="6">
        <v>16.433347000000001</v>
      </c>
      <c r="K1868" s="6">
        <v>-95.021687</v>
      </c>
      <c r="L1868" s="6" t="str">
        <f>HYPERLINK("https://maps.google.com/?q=16.433347,-95.021687", "🔗 Ver Mapa")</f>
        <v>🔗 Ver Mapa</v>
      </c>
    </row>
    <row r="1869" spans="1:12" ht="43.5" x14ac:dyDescent="0.35">
      <c r="A1869" s="5" t="s">
        <v>359</v>
      </c>
      <c r="B1869" s="5" t="s">
        <v>360</v>
      </c>
      <c r="C1869" s="5" t="s">
        <v>361</v>
      </c>
      <c r="D1869" s="5" t="s">
        <v>31</v>
      </c>
      <c r="E1869" s="5" t="s">
        <v>362</v>
      </c>
      <c r="F1869" s="5" t="s">
        <v>363</v>
      </c>
      <c r="G1869" s="5" t="s">
        <v>364</v>
      </c>
      <c r="H1869" s="5" t="s">
        <v>365</v>
      </c>
      <c r="I1869" s="5" t="s">
        <v>63</v>
      </c>
      <c r="J1869" s="5">
        <v>16.500512000000001</v>
      </c>
      <c r="K1869" s="5">
        <v>-96.106790000000004</v>
      </c>
      <c r="L1869" s="5" t="str">
        <f>HYPERLINK("https://maps.google.com/?q=16.500512,-96.106790000000004", "🔗 Ver Mapa")</f>
        <v>🔗 Ver Mapa</v>
      </c>
    </row>
    <row r="1870" spans="1:12" ht="43.5" x14ac:dyDescent="0.35">
      <c r="A1870" s="6" t="s">
        <v>359</v>
      </c>
      <c r="B1870" s="6" t="s">
        <v>360</v>
      </c>
      <c r="C1870" s="6" t="s">
        <v>361</v>
      </c>
      <c r="D1870" s="6" t="s">
        <v>31</v>
      </c>
      <c r="E1870" s="6" t="s">
        <v>362</v>
      </c>
      <c r="F1870" s="6" t="s">
        <v>363</v>
      </c>
      <c r="G1870" s="6" t="s">
        <v>364</v>
      </c>
      <c r="H1870" s="6" t="s">
        <v>365</v>
      </c>
      <c r="I1870" s="6" t="s">
        <v>63</v>
      </c>
      <c r="J1870" s="6">
        <v>16.519807</v>
      </c>
      <c r="K1870" s="6">
        <v>-96.983885000000001</v>
      </c>
      <c r="L1870" s="6" t="str">
        <f>HYPERLINK("https://maps.google.com/?q=16.519807,-96.983885000000001", "🔗 Ver Mapa")</f>
        <v>🔗 Ver Mapa</v>
      </c>
    </row>
    <row r="1871" spans="1:12" ht="43.5" x14ac:dyDescent="0.35">
      <c r="A1871" s="5" t="s">
        <v>359</v>
      </c>
      <c r="B1871" s="5" t="s">
        <v>360</v>
      </c>
      <c r="C1871" s="5" t="s">
        <v>361</v>
      </c>
      <c r="D1871" s="5" t="s">
        <v>31</v>
      </c>
      <c r="E1871" s="5" t="s">
        <v>362</v>
      </c>
      <c r="F1871" s="5" t="s">
        <v>363</v>
      </c>
      <c r="G1871" s="5" t="s">
        <v>364</v>
      </c>
      <c r="H1871" s="5" t="s">
        <v>365</v>
      </c>
      <c r="I1871" s="5" t="s">
        <v>63</v>
      </c>
      <c r="J1871" s="5">
        <v>16.564243999999999</v>
      </c>
      <c r="K1871" s="5">
        <v>-96.731829000000005</v>
      </c>
      <c r="L1871" s="5" t="str">
        <f>HYPERLINK("https://maps.google.com/?q=16.564244,-96.731829000000005", "🔗 Ver Mapa")</f>
        <v>🔗 Ver Mapa</v>
      </c>
    </row>
    <row r="1872" spans="1:12" ht="43.5" x14ac:dyDescent="0.35">
      <c r="A1872" s="6" t="s">
        <v>359</v>
      </c>
      <c r="B1872" s="6" t="s">
        <v>360</v>
      </c>
      <c r="C1872" s="6" t="s">
        <v>361</v>
      </c>
      <c r="D1872" s="6" t="s">
        <v>31</v>
      </c>
      <c r="E1872" s="6" t="s">
        <v>362</v>
      </c>
      <c r="F1872" s="6" t="s">
        <v>363</v>
      </c>
      <c r="G1872" s="6" t="s">
        <v>364</v>
      </c>
      <c r="H1872" s="6" t="s">
        <v>365</v>
      </c>
      <c r="I1872" s="6" t="s">
        <v>63</v>
      </c>
      <c r="J1872" s="6">
        <v>16.791625</v>
      </c>
      <c r="K1872" s="6">
        <v>-96.674999</v>
      </c>
      <c r="L1872" s="6" t="str">
        <f>HYPERLINK("https://maps.google.com/?q=16.791625,-96.674999", "🔗 Ver Mapa")</f>
        <v>🔗 Ver Mapa</v>
      </c>
    </row>
    <row r="1873" spans="1:12" ht="43.5" x14ac:dyDescent="0.35">
      <c r="A1873" s="5" t="s">
        <v>359</v>
      </c>
      <c r="B1873" s="5" t="s">
        <v>360</v>
      </c>
      <c r="C1873" s="5" t="s">
        <v>361</v>
      </c>
      <c r="D1873" s="5" t="s">
        <v>31</v>
      </c>
      <c r="E1873" s="5" t="s">
        <v>362</v>
      </c>
      <c r="F1873" s="5" t="s">
        <v>363</v>
      </c>
      <c r="G1873" s="5" t="s">
        <v>364</v>
      </c>
      <c r="H1873" s="5" t="s">
        <v>365</v>
      </c>
      <c r="I1873" s="5" t="s">
        <v>63</v>
      </c>
      <c r="J1873" s="5">
        <v>16.866371000000001</v>
      </c>
      <c r="K1873" s="5">
        <v>-96.785623000000001</v>
      </c>
      <c r="L1873" s="5" t="str">
        <f>HYPERLINK("https://maps.google.com/?q=16.866371,-96.785623000000001", "🔗 Ver Mapa")</f>
        <v>🔗 Ver Mapa</v>
      </c>
    </row>
    <row r="1874" spans="1:12" ht="43.5" x14ac:dyDescent="0.35">
      <c r="A1874" s="6" t="s">
        <v>359</v>
      </c>
      <c r="B1874" s="6" t="s">
        <v>360</v>
      </c>
      <c r="C1874" s="6" t="s">
        <v>361</v>
      </c>
      <c r="D1874" s="6" t="s">
        <v>31</v>
      </c>
      <c r="E1874" s="6" t="s">
        <v>362</v>
      </c>
      <c r="F1874" s="6" t="s">
        <v>363</v>
      </c>
      <c r="G1874" s="6" t="s">
        <v>364</v>
      </c>
      <c r="H1874" s="6" t="s">
        <v>365</v>
      </c>
      <c r="I1874" s="6" t="s">
        <v>63</v>
      </c>
      <c r="J1874" s="6">
        <v>16.950706</v>
      </c>
      <c r="K1874" s="6">
        <v>-96.750504000000006</v>
      </c>
      <c r="L1874" s="6" t="str">
        <f>HYPERLINK("https://maps.google.com/?q=16.950706,-96.750504000000006", "🔗 Ver Mapa")</f>
        <v>🔗 Ver Mapa</v>
      </c>
    </row>
    <row r="1875" spans="1:12" ht="43.5" x14ac:dyDescent="0.35">
      <c r="A1875" s="5" t="s">
        <v>359</v>
      </c>
      <c r="B1875" s="5" t="s">
        <v>360</v>
      </c>
      <c r="C1875" s="5" t="s">
        <v>361</v>
      </c>
      <c r="D1875" s="5" t="s">
        <v>31</v>
      </c>
      <c r="E1875" s="5" t="s">
        <v>362</v>
      </c>
      <c r="F1875" s="5" t="s">
        <v>363</v>
      </c>
      <c r="G1875" s="5" t="s">
        <v>364</v>
      </c>
      <c r="H1875" s="5" t="s">
        <v>365</v>
      </c>
      <c r="I1875" s="5" t="s">
        <v>63</v>
      </c>
      <c r="J1875" s="5">
        <v>16.955580000000001</v>
      </c>
      <c r="K1875" s="5">
        <v>-96.479206000000005</v>
      </c>
      <c r="L1875" s="5" t="str">
        <f>HYPERLINK("https://maps.google.com/?q=16.95558,-96.479206000000005", "🔗 Ver Mapa")</f>
        <v>🔗 Ver Mapa</v>
      </c>
    </row>
    <row r="1876" spans="1:12" ht="43.5" x14ac:dyDescent="0.35">
      <c r="A1876" s="6" t="s">
        <v>359</v>
      </c>
      <c r="B1876" s="6" t="s">
        <v>360</v>
      </c>
      <c r="C1876" s="6" t="s">
        <v>361</v>
      </c>
      <c r="D1876" s="6" t="s">
        <v>31</v>
      </c>
      <c r="E1876" s="6" t="s">
        <v>362</v>
      </c>
      <c r="F1876" s="6" t="s">
        <v>363</v>
      </c>
      <c r="G1876" s="6" t="s">
        <v>364</v>
      </c>
      <c r="H1876" s="6" t="s">
        <v>365</v>
      </c>
      <c r="I1876" s="6" t="s">
        <v>63</v>
      </c>
      <c r="J1876" s="6">
        <v>17.026216000000002</v>
      </c>
      <c r="K1876" s="6">
        <v>-97.928115000000005</v>
      </c>
      <c r="L1876" s="6" t="str">
        <f>HYPERLINK("https://maps.google.com/?q=17.026216,-97.928115000000005", "🔗 Ver Mapa")</f>
        <v>🔗 Ver Mapa</v>
      </c>
    </row>
    <row r="1877" spans="1:12" ht="43.5" x14ac:dyDescent="0.35">
      <c r="A1877" s="5" t="s">
        <v>359</v>
      </c>
      <c r="B1877" s="5" t="s">
        <v>360</v>
      </c>
      <c r="C1877" s="5" t="s">
        <v>361</v>
      </c>
      <c r="D1877" s="5" t="s">
        <v>31</v>
      </c>
      <c r="E1877" s="5" t="s">
        <v>362</v>
      </c>
      <c r="F1877" s="5" t="s">
        <v>363</v>
      </c>
      <c r="G1877" s="5" t="s">
        <v>364</v>
      </c>
      <c r="H1877" s="5" t="s">
        <v>365</v>
      </c>
      <c r="I1877" s="5" t="s">
        <v>63</v>
      </c>
      <c r="J1877" s="5">
        <v>17.027131000000001</v>
      </c>
      <c r="K1877" s="5">
        <v>-96.077044000000001</v>
      </c>
      <c r="L1877" s="5" t="str">
        <f>HYPERLINK("https://maps.google.com/?q=17.027131,-96.077044000000001", "🔗 Ver Mapa")</f>
        <v>🔗 Ver Mapa</v>
      </c>
    </row>
    <row r="1878" spans="1:12" ht="43.5" x14ac:dyDescent="0.35">
      <c r="A1878" s="6" t="s">
        <v>359</v>
      </c>
      <c r="B1878" s="6" t="s">
        <v>360</v>
      </c>
      <c r="C1878" s="6" t="s">
        <v>361</v>
      </c>
      <c r="D1878" s="6" t="s">
        <v>31</v>
      </c>
      <c r="E1878" s="6" t="s">
        <v>362</v>
      </c>
      <c r="F1878" s="6" t="s">
        <v>363</v>
      </c>
      <c r="G1878" s="6" t="s">
        <v>364</v>
      </c>
      <c r="H1878" s="6" t="s">
        <v>365</v>
      </c>
      <c r="I1878" s="6" t="s">
        <v>63</v>
      </c>
      <c r="J1878" s="6">
        <v>17.063777999999999</v>
      </c>
      <c r="K1878" s="6">
        <v>-96.729971000000006</v>
      </c>
      <c r="L1878" s="6" t="str">
        <f>HYPERLINK("https://maps.google.com/?q=17.063778,-96.729971000000006", "🔗 Ver Mapa")</f>
        <v>🔗 Ver Mapa</v>
      </c>
    </row>
    <row r="1879" spans="1:12" ht="43.5" x14ac:dyDescent="0.35">
      <c r="A1879" s="5" t="s">
        <v>359</v>
      </c>
      <c r="B1879" s="5" t="s">
        <v>360</v>
      </c>
      <c r="C1879" s="5" t="s">
        <v>361</v>
      </c>
      <c r="D1879" s="5" t="s">
        <v>31</v>
      </c>
      <c r="E1879" s="5" t="s">
        <v>362</v>
      </c>
      <c r="F1879" s="5" t="s">
        <v>363</v>
      </c>
      <c r="G1879" s="5" t="s">
        <v>364</v>
      </c>
      <c r="H1879" s="5" t="s">
        <v>365</v>
      </c>
      <c r="I1879" s="5" t="s">
        <v>63</v>
      </c>
      <c r="J1879" s="5">
        <v>17.207464000000002</v>
      </c>
      <c r="K1879" s="5">
        <v>-96.801094000000006</v>
      </c>
      <c r="L1879" s="5" t="str">
        <f>HYPERLINK("https://maps.google.com/?q=17.207464,-96.801094000000006", "🔗 Ver Mapa")</f>
        <v>🔗 Ver Mapa</v>
      </c>
    </row>
    <row r="1880" spans="1:12" ht="43.5" x14ac:dyDescent="0.35">
      <c r="A1880" s="6" t="s">
        <v>359</v>
      </c>
      <c r="B1880" s="6" t="s">
        <v>360</v>
      </c>
      <c r="C1880" s="6" t="s">
        <v>361</v>
      </c>
      <c r="D1880" s="6" t="s">
        <v>31</v>
      </c>
      <c r="E1880" s="6" t="s">
        <v>362</v>
      </c>
      <c r="F1880" s="6" t="s">
        <v>363</v>
      </c>
      <c r="G1880" s="6" t="s">
        <v>364</v>
      </c>
      <c r="H1880" s="6" t="s">
        <v>365</v>
      </c>
      <c r="I1880" s="6" t="s">
        <v>63</v>
      </c>
      <c r="J1880" s="6">
        <v>17.267448999999999</v>
      </c>
      <c r="K1880" s="6">
        <v>-97.680485000000004</v>
      </c>
      <c r="L1880" s="6" t="str">
        <f>HYPERLINK("https://maps.google.com/?q=17.267449,-97.680485000000004", "🔗 Ver Mapa")</f>
        <v>🔗 Ver Mapa</v>
      </c>
    </row>
    <row r="1881" spans="1:12" ht="43.5" x14ac:dyDescent="0.35">
      <c r="A1881" s="5" t="s">
        <v>359</v>
      </c>
      <c r="B1881" s="5" t="s">
        <v>360</v>
      </c>
      <c r="C1881" s="5" t="s">
        <v>361</v>
      </c>
      <c r="D1881" s="5" t="s">
        <v>31</v>
      </c>
      <c r="E1881" s="5" t="s">
        <v>362</v>
      </c>
      <c r="F1881" s="5" t="s">
        <v>363</v>
      </c>
      <c r="G1881" s="5" t="s">
        <v>364</v>
      </c>
      <c r="H1881" s="5" t="s">
        <v>365</v>
      </c>
      <c r="I1881" s="5" t="s">
        <v>63</v>
      </c>
      <c r="J1881" s="5">
        <v>17.331247999999999</v>
      </c>
      <c r="K1881" s="5">
        <v>-96.487900999999994</v>
      </c>
      <c r="L1881" s="5" t="str">
        <f>HYPERLINK("https://maps.google.com/?q=17.331248,-96.487900999999994", "🔗 Ver Mapa")</f>
        <v>🔗 Ver Mapa</v>
      </c>
    </row>
    <row r="1882" spans="1:12" ht="43.5" x14ac:dyDescent="0.35">
      <c r="A1882" s="6" t="s">
        <v>359</v>
      </c>
      <c r="B1882" s="6" t="s">
        <v>360</v>
      </c>
      <c r="C1882" s="6" t="s">
        <v>361</v>
      </c>
      <c r="D1882" s="6" t="s">
        <v>31</v>
      </c>
      <c r="E1882" s="6" t="s">
        <v>362</v>
      </c>
      <c r="F1882" s="6" t="s">
        <v>363</v>
      </c>
      <c r="G1882" s="6" t="s">
        <v>364</v>
      </c>
      <c r="H1882" s="6" t="s">
        <v>365</v>
      </c>
      <c r="I1882" s="6" t="s">
        <v>63</v>
      </c>
      <c r="J1882" s="6">
        <v>17.335315999999999</v>
      </c>
      <c r="K1882" s="6">
        <v>-98.012051</v>
      </c>
      <c r="L1882" s="6" t="str">
        <f>HYPERLINK("https://maps.google.com/?q=17.335316,-98.012051", "🔗 Ver Mapa")</f>
        <v>🔗 Ver Mapa</v>
      </c>
    </row>
    <row r="1883" spans="1:12" ht="43.5" x14ac:dyDescent="0.35">
      <c r="A1883" s="5" t="s">
        <v>359</v>
      </c>
      <c r="B1883" s="5" t="s">
        <v>360</v>
      </c>
      <c r="C1883" s="5" t="s">
        <v>361</v>
      </c>
      <c r="D1883" s="5" t="s">
        <v>31</v>
      </c>
      <c r="E1883" s="5" t="s">
        <v>362</v>
      </c>
      <c r="F1883" s="5" t="s">
        <v>363</v>
      </c>
      <c r="G1883" s="5" t="s">
        <v>364</v>
      </c>
      <c r="H1883" s="5" t="s">
        <v>365</v>
      </c>
      <c r="I1883" s="5" t="s">
        <v>63</v>
      </c>
      <c r="J1883" s="5">
        <v>17.338730000000002</v>
      </c>
      <c r="K1883" s="5">
        <v>-96.152553999999995</v>
      </c>
      <c r="L1883" s="5" t="str">
        <f>HYPERLINK("https://maps.google.com/?q=17.33873,-96.152553999999995", "🔗 Ver Mapa")</f>
        <v>🔗 Ver Mapa</v>
      </c>
    </row>
    <row r="1884" spans="1:12" ht="43.5" x14ac:dyDescent="0.35">
      <c r="A1884" s="6" t="s">
        <v>359</v>
      </c>
      <c r="B1884" s="6" t="s">
        <v>360</v>
      </c>
      <c r="C1884" s="6" t="s">
        <v>361</v>
      </c>
      <c r="D1884" s="6" t="s">
        <v>31</v>
      </c>
      <c r="E1884" s="6" t="s">
        <v>362</v>
      </c>
      <c r="F1884" s="6" t="s">
        <v>363</v>
      </c>
      <c r="G1884" s="6" t="s">
        <v>364</v>
      </c>
      <c r="H1884" s="6" t="s">
        <v>365</v>
      </c>
      <c r="I1884" s="6" t="s">
        <v>63</v>
      </c>
      <c r="J1884" s="6">
        <v>17.361765999999999</v>
      </c>
      <c r="K1884" s="6">
        <v>-95.922253999999995</v>
      </c>
      <c r="L1884" s="6" t="str">
        <f>HYPERLINK("https://maps.google.com/?q=17.361766,-95.922253999999995", "🔗 Ver Mapa")</f>
        <v>🔗 Ver Mapa</v>
      </c>
    </row>
    <row r="1885" spans="1:12" ht="43.5" x14ac:dyDescent="0.35">
      <c r="A1885" s="5" t="s">
        <v>359</v>
      </c>
      <c r="B1885" s="5" t="s">
        <v>360</v>
      </c>
      <c r="C1885" s="5" t="s">
        <v>361</v>
      </c>
      <c r="D1885" s="5" t="s">
        <v>31</v>
      </c>
      <c r="E1885" s="5" t="s">
        <v>362</v>
      </c>
      <c r="F1885" s="5" t="s">
        <v>363</v>
      </c>
      <c r="G1885" s="5" t="s">
        <v>364</v>
      </c>
      <c r="H1885" s="5" t="s">
        <v>365</v>
      </c>
      <c r="I1885" s="5" t="s">
        <v>63</v>
      </c>
      <c r="J1885" s="5">
        <v>17.458341000000001</v>
      </c>
      <c r="K1885" s="5">
        <v>-97.225285</v>
      </c>
      <c r="L1885" s="5" t="str">
        <f>HYPERLINK("https://maps.google.com/?q=17.458341,-97.225285", "🔗 Ver Mapa")</f>
        <v>🔗 Ver Mapa</v>
      </c>
    </row>
    <row r="1886" spans="1:12" ht="43.5" x14ac:dyDescent="0.35">
      <c r="A1886" s="6" t="s">
        <v>359</v>
      </c>
      <c r="B1886" s="6" t="s">
        <v>360</v>
      </c>
      <c r="C1886" s="6" t="s">
        <v>361</v>
      </c>
      <c r="D1886" s="6" t="s">
        <v>31</v>
      </c>
      <c r="E1886" s="6" t="s">
        <v>362</v>
      </c>
      <c r="F1886" s="6" t="s">
        <v>363</v>
      </c>
      <c r="G1886" s="6" t="s">
        <v>364</v>
      </c>
      <c r="H1886" s="6" t="s">
        <v>365</v>
      </c>
      <c r="I1886" s="6" t="s">
        <v>63</v>
      </c>
      <c r="J1886" s="6">
        <v>17.501442000000001</v>
      </c>
      <c r="K1886" s="6">
        <v>-98.142583999999999</v>
      </c>
      <c r="L1886" s="6" t="str">
        <f>HYPERLINK("https://maps.google.com/?q=17.501442,-98.142583999999999", "🔗 Ver Mapa")</f>
        <v>🔗 Ver Mapa</v>
      </c>
    </row>
    <row r="1887" spans="1:12" ht="43.5" x14ac:dyDescent="0.35">
      <c r="A1887" s="5" t="s">
        <v>359</v>
      </c>
      <c r="B1887" s="5" t="s">
        <v>360</v>
      </c>
      <c r="C1887" s="5" t="s">
        <v>361</v>
      </c>
      <c r="D1887" s="5" t="s">
        <v>31</v>
      </c>
      <c r="E1887" s="5" t="s">
        <v>362</v>
      </c>
      <c r="F1887" s="5" t="s">
        <v>363</v>
      </c>
      <c r="G1887" s="5" t="s">
        <v>364</v>
      </c>
      <c r="H1887" s="5" t="s">
        <v>365</v>
      </c>
      <c r="I1887" s="5" t="s">
        <v>63</v>
      </c>
      <c r="J1887" s="5">
        <v>17.511838000000001</v>
      </c>
      <c r="K1887" s="5">
        <v>-97.488547999999994</v>
      </c>
      <c r="L1887" s="5" t="str">
        <f>HYPERLINK("https://maps.google.com/?q=17.511838,-97.488547999999994", "🔗 Ver Mapa")</f>
        <v>🔗 Ver Mapa</v>
      </c>
    </row>
    <row r="1888" spans="1:12" ht="43.5" x14ac:dyDescent="0.35">
      <c r="A1888" s="6" t="s">
        <v>359</v>
      </c>
      <c r="B1888" s="6" t="s">
        <v>360</v>
      </c>
      <c r="C1888" s="6" t="s">
        <v>361</v>
      </c>
      <c r="D1888" s="6" t="s">
        <v>31</v>
      </c>
      <c r="E1888" s="6" t="s">
        <v>362</v>
      </c>
      <c r="F1888" s="6" t="s">
        <v>363</v>
      </c>
      <c r="G1888" s="6" t="s">
        <v>364</v>
      </c>
      <c r="H1888" s="6" t="s">
        <v>365</v>
      </c>
      <c r="I1888" s="6" t="s">
        <v>63</v>
      </c>
      <c r="J1888" s="6">
        <v>17.724615</v>
      </c>
      <c r="K1888" s="6">
        <v>-97.323898</v>
      </c>
      <c r="L1888" s="6" t="str">
        <f>HYPERLINK("https://maps.google.com/?q=17.724615,-97.323898", "🔗 Ver Mapa")</f>
        <v>🔗 Ver Mapa</v>
      </c>
    </row>
    <row r="1889" spans="1:12" ht="43.5" x14ac:dyDescent="0.35">
      <c r="A1889" s="5" t="s">
        <v>359</v>
      </c>
      <c r="B1889" s="5" t="s">
        <v>360</v>
      </c>
      <c r="C1889" s="5" t="s">
        <v>361</v>
      </c>
      <c r="D1889" s="5" t="s">
        <v>31</v>
      </c>
      <c r="E1889" s="5" t="s">
        <v>362</v>
      </c>
      <c r="F1889" s="5" t="s">
        <v>363</v>
      </c>
      <c r="G1889" s="5" t="s">
        <v>364</v>
      </c>
      <c r="H1889" s="5" t="s">
        <v>365</v>
      </c>
      <c r="I1889" s="5" t="s">
        <v>63</v>
      </c>
      <c r="J1889" s="5">
        <v>17.801687000000001</v>
      </c>
      <c r="K1889" s="5">
        <v>-96.959688</v>
      </c>
      <c r="L1889" s="5" t="str">
        <f>HYPERLINK("https://maps.google.com/?q=17.801687,-96.959688", "🔗 Ver Mapa")</f>
        <v>🔗 Ver Mapa</v>
      </c>
    </row>
    <row r="1890" spans="1:12" ht="43.5" x14ac:dyDescent="0.35">
      <c r="A1890" s="6" t="s">
        <v>359</v>
      </c>
      <c r="B1890" s="6" t="s">
        <v>360</v>
      </c>
      <c r="C1890" s="6" t="s">
        <v>361</v>
      </c>
      <c r="D1890" s="6" t="s">
        <v>31</v>
      </c>
      <c r="E1890" s="6" t="s">
        <v>362</v>
      </c>
      <c r="F1890" s="6" t="s">
        <v>363</v>
      </c>
      <c r="G1890" s="6" t="s">
        <v>364</v>
      </c>
      <c r="H1890" s="6" t="s">
        <v>365</v>
      </c>
      <c r="I1890" s="6" t="s">
        <v>63</v>
      </c>
      <c r="J1890" s="6">
        <v>17.806621</v>
      </c>
      <c r="K1890" s="6">
        <v>-97.776161999999999</v>
      </c>
      <c r="L1890" s="6" t="str">
        <f>HYPERLINK("https://maps.google.com/?q=17.806621,-97.776161999999999", "🔗 Ver Mapa")</f>
        <v>🔗 Ver Mapa</v>
      </c>
    </row>
    <row r="1891" spans="1:12" ht="43.5" x14ac:dyDescent="0.35">
      <c r="A1891" s="5" t="s">
        <v>359</v>
      </c>
      <c r="B1891" s="5" t="s">
        <v>360</v>
      </c>
      <c r="C1891" s="5" t="s">
        <v>361</v>
      </c>
      <c r="D1891" s="5" t="s">
        <v>31</v>
      </c>
      <c r="E1891" s="5" t="s">
        <v>362</v>
      </c>
      <c r="F1891" s="5" t="s">
        <v>363</v>
      </c>
      <c r="G1891" s="5" t="s">
        <v>364</v>
      </c>
      <c r="H1891" s="5" t="s">
        <v>365</v>
      </c>
      <c r="I1891" s="5" t="s">
        <v>63</v>
      </c>
      <c r="J1891" s="5">
        <v>18.081168999999999</v>
      </c>
      <c r="K1891" s="5">
        <v>-96.118475000000004</v>
      </c>
      <c r="L1891" s="5" t="str">
        <f>HYPERLINK("https://maps.google.com/?q=18.081169,-96.118475000000004", "🔗 Ver Mapa")</f>
        <v>🔗 Ver Mapa</v>
      </c>
    </row>
    <row r="1892" spans="1:12" ht="43.5" x14ac:dyDescent="0.35">
      <c r="A1892" s="6" t="s">
        <v>359</v>
      </c>
      <c r="B1892" s="6" t="s">
        <v>360</v>
      </c>
      <c r="C1892" s="6" t="s">
        <v>361</v>
      </c>
      <c r="D1892" s="6" t="s">
        <v>31</v>
      </c>
      <c r="E1892" s="6" t="s">
        <v>362</v>
      </c>
      <c r="F1892" s="6" t="s">
        <v>363</v>
      </c>
      <c r="G1892" s="6" t="s">
        <v>364</v>
      </c>
      <c r="H1892" s="6" t="s">
        <v>365</v>
      </c>
      <c r="I1892" s="6" t="s">
        <v>63</v>
      </c>
      <c r="J1892" s="6">
        <v>18.13222</v>
      </c>
      <c r="K1892" s="6">
        <v>-97.070751000000001</v>
      </c>
      <c r="L1892" s="6" t="str">
        <f>HYPERLINK("https://maps.google.com/?q=18.13222,-97.070751000000001", "🔗 Ver Mapa")</f>
        <v>🔗 Ver Mapa</v>
      </c>
    </row>
    <row r="1893" spans="1:12" ht="43.5" x14ac:dyDescent="0.35">
      <c r="A1893" s="5" t="s">
        <v>359</v>
      </c>
      <c r="B1893" s="5" t="s">
        <v>360</v>
      </c>
      <c r="C1893" s="5" t="s">
        <v>366</v>
      </c>
      <c r="D1893" s="5" t="s">
        <v>31</v>
      </c>
      <c r="E1893" s="5" t="s">
        <v>362</v>
      </c>
      <c r="F1893" s="5" t="s">
        <v>363</v>
      </c>
      <c r="G1893" s="5" t="s">
        <v>364</v>
      </c>
      <c r="H1893" s="5" t="s">
        <v>365</v>
      </c>
      <c r="I1893" s="5" t="s">
        <v>63</v>
      </c>
      <c r="J1893" s="5">
        <v>15.746143999999999</v>
      </c>
      <c r="K1893" s="5">
        <v>-96.465182999999996</v>
      </c>
      <c r="L1893" s="5" t="str">
        <f>HYPERLINK("https://maps.google.com/?q=15.746144,-96.465182999999996", "🔗 Ver Mapa")</f>
        <v>🔗 Ver Mapa</v>
      </c>
    </row>
    <row r="1894" spans="1:12" ht="43.5" x14ac:dyDescent="0.35">
      <c r="A1894" s="6" t="s">
        <v>359</v>
      </c>
      <c r="B1894" s="6" t="s">
        <v>360</v>
      </c>
      <c r="C1894" s="6" t="s">
        <v>366</v>
      </c>
      <c r="D1894" s="6" t="s">
        <v>31</v>
      </c>
      <c r="E1894" s="6" t="s">
        <v>362</v>
      </c>
      <c r="F1894" s="6" t="s">
        <v>363</v>
      </c>
      <c r="G1894" s="6" t="s">
        <v>364</v>
      </c>
      <c r="H1894" s="6" t="s">
        <v>365</v>
      </c>
      <c r="I1894" s="6" t="s">
        <v>63</v>
      </c>
      <c r="J1894" s="6">
        <v>16.237075999999998</v>
      </c>
      <c r="K1894" s="6">
        <v>-97.292351999999994</v>
      </c>
      <c r="L1894" s="6" t="str">
        <f>HYPERLINK("https://maps.google.com/?q=16.237076,-97.292351999999994", "🔗 Ver Mapa")</f>
        <v>🔗 Ver Mapa</v>
      </c>
    </row>
    <row r="1895" spans="1:12" ht="43.5" x14ac:dyDescent="0.35">
      <c r="A1895" s="5" t="s">
        <v>359</v>
      </c>
      <c r="B1895" s="5" t="s">
        <v>360</v>
      </c>
      <c r="C1895" s="5" t="s">
        <v>366</v>
      </c>
      <c r="D1895" s="5" t="s">
        <v>31</v>
      </c>
      <c r="E1895" s="5" t="s">
        <v>362</v>
      </c>
      <c r="F1895" s="5" t="s">
        <v>363</v>
      </c>
      <c r="G1895" s="5" t="s">
        <v>364</v>
      </c>
      <c r="H1895" s="5" t="s">
        <v>365</v>
      </c>
      <c r="I1895" s="5" t="s">
        <v>63</v>
      </c>
      <c r="J1895" s="5">
        <v>16.279057999999999</v>
      </c>
      <c r="K1895" s="5">
        <v>-97.820240999999996</v>
      </c>
      <c r="L1895" s="5" t="str">
        <f>HYPERLINK("https://maps.google.com/?q=16.279058,-97.820240999999996", "🔗 Ver Mapa")</f>
        <v>🔗 Ver Mapa</v>
      </c>
    </row>
    <row r="1896" spans="1:12" ht="43.5" x14ac:dyDescent="0.35">
      <c r="A1896" s="6" t="s">
        <v>359</v>
      </c>
      <c r="B1896" s="6" t="s">
        <v>360</v>
      </c>
      <c r="C1896" s="6" t="s">
        <v>366</v>
      </c>
      <c r="D1896" s="6" t="s">
        <v>31</v>
      </c>
      <c r="E1896" s="6" t="s">
        <v>362</v>
      </c>
      <c r="F1896" s="6" t="s">
        <v>363</v>
      </c>
      <c r="G1896" s="6" t="s">
        <v>364</v>
      </c>
      <c r="H1896" s="6" t="s">
        <v>365</v>
      </c>
      <c r="I1896" s="6" t="s">
        <v>63</v>
      </c>
      <c r="J1896" s="6">
        <v>16.328751</v>
      </c>
      <c r="K1896" s="6">
        <v>-96.596529000000004</v>
      </c>
      <c r="L1896" s="6" t="str">
        <f>HYPERLINK("https://maps.google.com/?q=16.328751,-96.596529000000004", "🔗 Ver Mapa")</f>
        <v>🔗 Ver Mapa</v>
      </c>
    </row>
    <row r="1897" spans="1:12" ht="43.5" x14ac:dyDescent="0.35">
      <c r="A1897" s="5" t="s">
        <v>359</v>
      </c>
      <c r="B1897" s="5" t="s">
        <v>360</v>
      </c>
      <c r="C1897" s="5" t="s">
        <v>366</v>
      </c>
      <c r="D1897" s="5" t="s">
        <v>31</v>
      </c>
      <c r="E1897" s="5" t="s">
        <v>362</v>
      </c>
      <c r="F1897" s="5" t="s">
        <v>363</v>
      </c>
      <c r="G1897" s="5" t="s">
        <v>364</v>
      </c>
      <c r="H1897" s="5" t="s">
        <v>365</v>
      </c>
      <c r="I1897" s="5" t="s">
        <v>63</v>
      </c>
      <c r="J1897" s="5">
        <v>16.332014000000001</v>
      </c>
      <c r="K1897" s="5">
        <v>-95.231966</v>
      </c>
      <c r="L1897" s="5" t="str">
        <f>HYPERLINK("https://maps.google.com/?q=16.332014,-95.231966", "🔗 Ver Mapa")</f>
        <v>🔗 Ver Mapa</v>
      </c>
    </row>
    <row r="1898" spans="1:12" ht="43.5" x14ac:dyDescent="0.35">
      <c r="A1898" s="6" t="s">
        <v>359</v>
      </c>
      <c r="B1898" s="6" t="s">
        <v>360</v>
      </c>
      <c r="C1898" s="6" t="s">
        <v>366</v>
      </c>
      <c r="D1898" s="6" t="s">
        <v>31</v>
      </c>
      <c r="E1898" s="6" t="s">
        <v>362</v>
      </c>
      <c r="F1898" s="6" t="s">
        <v>363</v>
      </c>
      <c r="G1898" s="6" t="s">
        <v>364</v>
      </c>
      <c r="H1898" s="6" t="s">
        <v>365</v>
      </c>
      <c r="I1898" s="6" t="s">
        <v>63</v>
      </c>
      <c r="J1898" s="6">
        <v>16.433347000000001</v>
      </c>
      <c r="K1898" s="6">
        <v>-95.021687</v>
      </c>
      <c r="L1898" s="6" t="str">
        <f>HYPERLINK("https://maps.google.com/?q=16.433347,-95.021687", "🔗 Ver Mapa")</f>
        <v>🔗 Ver Mapa</v>
      </c>
    </row>
    <row r="1899" spans="1:12" ht="43.5" x14ac:dyDescent="0.35">
      <c r="A1899" s="5" t="s">
        <v>359</v>
      </c>
      <c r="B1899" s="5" t="s">
        <v>360</v>
      </c>
      <c r="C1899" s="5" t="s">
        <v>366</v>
      </c>
      <c r="D1899" s="5" t="s">
        <v>31</v>
      </c>
      <c r="E1899" s="5" t="s">
        <v>362</v>
      </c>
      <c r="F1899" s="5" t="s">
        <v>363</v>
      </c>
      <c r="G1899" s="5" t="s">
        <v>364</v>
      </c>
      <c r="H1899" s="5" t="s">
        <v>365</v>
      </c>
      <c r="I1899" s="5" t="s">
        <v>63</v>
      </c>
      <c r="J1899" s="5">
        <v>16.500512000000001</v>
      </c>
      <c r="K1899" s="5">
        <v>-96.106790000000004</v>
      </c>
      <c r="L1899" s="5" t="str">
        <f>HYPERLINK("https://maps.google.com/?q=16.500512,-96.106790000000004", "🔗 Ver Mapa")</f>
        <v>🔗 Ver Mapa</v>
      </c>
    </row>
    <row r="1900" spans="1:12" ht="43.5" x14ac:dyDescent="0.35">
      <c r="A1900" s="6" t="s">
        <v>359</v>
      </c>
      <c r="B1900" s="6" t="s">
        <v>360</v>
      </c>
      <c r="C1900" s="6" t="s">
        <v>366</v>
      </c>
      <c r="D1900" s="6" t="s">
        <v>31</v>
      </c>
      <c r="E1900" s="6" t="s">
        <v>362</v>
      </c>
      <c r="F1900" s="6" t="s">
        <v>363</v>
      </c>
      <c r="G1900" s="6" t="s">
        <v>364</v>
      </c>
      <c r="H1900" s="6" t="s">
        <v>365</v>
      </c>
      <c r="I1900" s="6" t="s">
        <v>63</v>
      </c>
      <c r="J1900" s="6">
        <v>16.519807</v>
      </c>
      <c r="K1900" s="6">
        <v>-96.983885000000001</v>
      </c>
      <c r="L1900" s="6" t="str">
        <f>HYPERLINK("https://maps.google.com/?q=16.519807,-96.983885000000001", "🔗 Ver Mapa")</f>
        <v>🔗 Ver Mapa</v>
      </c>
    </row>
    <row r="1901" spans="1:12" ht="43.5" x14ac:dyDescent="0.35">
      <c r="A1901" s="5" t="s">
        <v>359</v>
      </c>
      <c r="B1901" s="5" t="s">
        <v>360</v>
      </c>
      <c r="C1901" s="5" t="s">
        <v>366</v>
      </c>
      <c r="D1901" s="5" t="s">
        <v>31</v>
      </c>
      <c r="E1901" s="5" t="s">
        <v>362</v>
      </c>
      <c r="F1901" s="5" t="s">
        <v>363</v>
      </c>
      <c r="G1901" s="5" t="s">
        <v>364</v>
      </c>
      <c r="H1901" s="5" t="s">
        <v>365</v>
      </c>
      <c r="I1901" s="5" t="s">
        <v>63</v>
      </c>
      <c r="J1901" s="5">
        <v>16.564243999999999</v>
      </c>
      <c r="K1901" s="5">
        <v>-96.731829000000005</v>
      </c>
      <c r="L1901" s="5" t="str">
        <f>HYPERLINK("https://maps.google.com/?q=16.564244,-96.731829000000005", "🔗 Ver Mapa")</f>
        <v>🔗 Ver Mapa</v>
      </c>
    </row>
    <row r="1902" spans="1:12" ht="43.5" x14ac:dyDescent="0.35">
      <c r="A1902" s="6" t="s">
        <v>359</v>
      </c>
      <c r="B1902" s="6" t="s">
        <v>360</v>
      </c>
      <c r="C1902" s="6" t="s">
        <v>366</v>
      </c>
      <c r="D1902" s="6" t="s">
        <v>31</v>
      </c>
      <c r="E1902" s="6" t="s">
        <v>362</v>
      </c>
      <c r="F1902" s="6" t="s">
        <v>363</v>
      </c>
      <c r="G1902" s="6" t="s">
        <v>364</v>
      </c>
      <c r="H1902" s="6" t="s">
        <v>365</v>
      </c>
      <c r="I1902" s="6" t="s">
        <v>63</v>
      </c>
      <c r="J1902" s="6">
        <v>16.791625</v>
      </c>
      <c r="K1902" s="6">
        <v>-96.674999</v>
      </c>
      <c r="L1902" s="6" t="str">
        <f>HYPERLINK("https://maps.google.com/?q=16.791625,-96.674999", "🔗 Ver Mapa")</f>
        <v>🔗 Ver Mapa</v>
      </c>
    </row>
    <row r="1903" spans="1:12" ht="43.5" x14ac:dyDescent="0.35">
      <c r="A1903" s="5" t="s">
        <v>359</v>
      </c>
      <c r="B1903" s="5" t="s">
        <v>360</v>
      </c>
      <c r="C1903" s="5" t="s">
        <v>366</v>
      </c>
      <c r="D1903" s="5" t="s">
        <v>31</v>
      </c>
      <c r="E1903" s="5" t="s">
        <v>362</v>
      </c>
      <c r="F1903" s="5" t="s">
        <v>363</v>
      </c>
      <c r="G1903" s="5" t="s">
        <v>364</v>
      </c>
      <c r="H1903" s="5" t="s">
        <v>365</v>
      </c>
      <c r="I1903" s="5" t="s">
        <v>63</v>
      </c>
      <c r="J1903" s="5">
        <v>16.866371000000001</v>
      </c>
      <c r="K1903" s="5">
        <v>-96.785623000000001</v>
      </c>
      <c r="L1903" s="5" t="str">
        <f>HYPERLINK("https://maps.google.com/?q=16.866371,-96.785623000000001", "🔗 Ver Mapa")</f>
        <v>🔗 Ver Mapa</v>
      </c>
    </row>
    <row r="1904" spans="1:12" ht="43.5" x14ac:dyDescent="0.35">
      <c r="A1904" s="6" t="s">
        <v>359</v>
      </c>
      <c r="B1904" s="6" t="s">
        <v>360</v>
      </c>
      <c r="C1904" s="6" t="s">
        <v>366</v>
      </c>
      <c r="D1904" s="6" t="s">
        <v>31</v>
      </c>
      <c r="E1904" s="6" t="s">
        <v>362</v>
      </c>
      <c r="F1904" s="6" t="s">
        <v>363</v>
      </c>
      <c r="G1904" s="6" t="s">
        <v>364</v>
      </c>
      <c r="H1904" s="6" t="s">
        <v>365</v>
      </c>
      <c r="I1904" s="6" t="s">
        <v>63</v>
      </c>
      <c r="J1904" s="6">
        <v>16.950706</v>
      </c>
      <c r="K1904" s="6">
        <v>-96.750504000000006</v>
      </c>
      <c r="L1904" s="6" t="str">
        <f>HYPERLINK("https://maps.google.com/?q=16.950706,-96.750504000000006", "🔗 Ver Mapa")</f>
        <v>🔗 Ver Mapa</v>
      </c>
    </row>
    <row r="1905" spans="1:12" ht="43.5" x14ac:dyDescent="0.35">
      <c r="A1905" s="5" t="s">
        <v>359</v>
      </c>
      <c r="B1905" s="5" t="s">
        <v>360</v>
      </c>
      <c r="C1905" s="5" t="s">
        <v>366</v>
      </c>
      <c r="D1905" s="5" t="s">
        <v>31</v>
      </c>
      <c r="E1905" s="5" t="s">
        <v>362</v>
      </c>
      <c r="F1905" s="5" t="s">
        <v>363</v>
      </c>
      <c r="G1905" s="5" t="s">
        <v>364</v>
      </c>
      <c r="H1905" s="5" t="s">
        <v>365</v>
      </c>
      <c r="I1905" s="5" t="s">
        <v>63</v>
      </c>
      <c r="J1905" s="5">
        <v>16.955580000000001</v>
      </c>
      <c r="K1905" s="5">
        <v>-96.479206000000005</v>
      </c>
      <c r="L1905" s="5" t="str">
        <f>HYPERLINK("https://maps.google.com/?q=16.95558,-96.479206000000005", "🔗 Ver Mapa")</f>
        <v>🔗 Ver Mapa</v>
      </c>
    </row>
    <row r="1906" spans="1:12" ht="43.5" x14ac:dyDescent="0.35">
      <c r="A1906" s="6" t="s">
        <v>359</v>
      </c>
      <c r="B1906" s="6" t="s">
        <v>360</v>
      </c>
      <c r="C1906" s="6" t="s">
        <v>366</v>
      </c>
      <c r="D1906" s="6" t="s">
        <v>31</v>
      </c>
      <c r="E1906" s="6" t="s">
        <v>362</v>
      </c>
      <c r="F1906" s="6" t="s">
        <v>363</v>
      </c>
      <c r="G1906" s="6" t="s">
        <v>364</v>
      </c>
      <c r="H1906" s="6" t="s">
        <v>365</v>
      </c>
      <c r="I1906" s="6" t="s">
        <v>63</v>
      </c>
      <c r="J1906" s="6">
        <v>17.026216000000002</v>
      </c>
      <c r="K1906" s="6">
        <v>-97.928115000000005</v>
      </c>
      <c r="L1906" s="6" t="str">
        <f>HYPERLINK("https://maps.google.com/?q=17.026216,-97.928115000000005", "🔗 Ver Mapa")</f>
        <v>🔗 Ver Mapa</v>
      </c>
    </row>
    <row r="1907" spans="1:12" ht="43.5" x14ac:dyDescent="0.35">
      <c r="A1907" s="5" t="s">
        <v>359</v>
      </c>
      <c r="B1907" s="5" t="s">
        <v>360</v>
      </c>
      <c r="C1907" s="5" t="s">
        <v>366</v>
      </c>
      <c r="D1907" s="5" t="s">
        <v>31</v>
      </c>
      <c r="E1907" s="5" t="s">
        <v>362</v>
      </c>
      <c r="F1907" s="5" t="s">
        <v>363</v>
      </c>
      <c r="G1907" s="5" t="s">
        <v>364</v>
      </c>
      <c r="H1907" s="5" t="s">
        <v>365</v>
      </c>
      <c r="I1907" s="5" t="s">
        <v>63</v>
      </c>
      <c r="J1907" s="5">
        <v>17.027131000000001</v>
      </c>
      <c r="K1907" s="5">
        <v>-96.077044000000001</v>
      </c>
      <c r="L1907" s="5" t="str">
        <f>HYPERLINK("https://maps.google.com/?q=17.027131,-96.077044000000001", "🔗 Ver Mapa")</f>
        <v>🔗 Ver Mapa</v>
      </c>
    </row>
    <row r="1908" spans="1:12" ht="43.5" x14ac:dyDescent="0.35">
      <c r="A1908" s="6" t="s">
        <v>359</v>
      </c>
      <c r="B1908" s="6" t="s">
        <v>360</v>
      </c>
      <c r="C1908" s="6" t="s">
        <v>366</v>
      </c>
      <c r="D1908" s="6" t="s">
        <v>31</v>
      </c>
      <c r="E1908" s="6" t="s">
        <v>362</v>
      </c>
      <c r="F1908" s="6" t="s">
        <v>363</v>
      </c>
      <c r="G1908" s="6" t="s">
        <v>364</v>
      </c>
      <c r="H1908" s="6" t="s">
        <v>365</v>
      </c>
      <c r="I1908" s="6" t="s">
        <v>63</v>
      </c>
      <c r="J1908" s="6">
        <v>17.063777999999999</v>
      </c>
      <c r="K1908" s="6">
        <v>-96.729971000000006</v>
      </c>
      <c r="L1908" s="6" t="str">
        <f>HYPERLINK("https://maps.google.com/?q=17.063778,-96.729971000000006", "🔗 Ver Mapa")</f>
        <v>🔗 Ver Mapa</v>
      </c>
    </row>
    <row r="1909" spans="1:12" ht="43.5" x14ac:dyDescent="0.35">
      <c r="A1909" s="5" t="s">
        <v>359</v>
      </c>
      <c r="B1909" s="5" t="s">
        <v>360</v>
      </c>
      <c r="C1909" s="5" t="s">
        <v>366</v>
      </c>
      <c r="D1909" s="5" t="s">
        <v>31</v>
      </c>
      <c r="E1909" s="5" t="s">
        <v>362</v>
      </c>
      <c r="F1909" s="5" t="s">
        <v>363</v>
      </c>
      <c r="G1909" s="5" t="s">
        <v>364</v>
      </c>
      <c r="H1909" s="5" t="s">
        <v>365</v>
      </c>
      <c r="I1909" s="5" t="s">
        <v>63</v>
      </c>
      <c r="J1909" s="5">
        <v>17.207464000000002</v>
      </c>
      <c r="K1909" s="5">
        <v>-96.801094000000006</v>
      </c>
      <c r="L1909" s="5" t="str">
        <f>HYPERLINK("https://maps.google.com/?q=17.207464,-96.801094000000006", "🔗 Ver Mapa")</f>
        <v>🔗 Ver Mapa</v>
      </c>
    </row>
    <row r="1910" spans="1:12" ht="43.5" x14ac:dyDescent="0.35">
      <c r="A1910" s="6" t="s">
        <v>359</v>
      </c>
      <c r="B1910" s="6" t="s">
        <v>360</v>
      </c>
      <c r="C1910" s="6" t="s">
        <v>366</v>
      </c>
      <c r="D1910" s="6" t="s">
        <v>31</v>
      </c>
      <c r="E1910" s="6" t="s">
        <v>362</v>
      </c>
      <c r="F1910" s="6" t="s">
        <v>363</v>
      </c>
      <c r="G1910" s="6" t="s">
        <v>364</v>
      </c>
      <c r="H1910" s="6" t="s">
        <v>365</v>
      </c>
      <c r="I1910" s="6" t="s">
        <v>63</v>
      </c>
      <c r="J1910" s="6">
        <v>17.267448999999999</v>
      </c>
      <c r="K1910" s="6">
        <v>-97.680485000000004</v>
      </c>
      <c r="L1910" s="6" t="str">
        <f>HYPERLINK("https://maps.google.com/?q=17.267449,-97.680485000000004", "🔗 Ver Mapa")</f>
        <v>🔗 Ver Mapa</v>
      </c>
    </row>
    <row r="1911" spans="1:12" ht="43.5" x14ac:dyDescent="0.35">
      <c r="A1911" s="5" t="s">
        <v>359</v>
      </c>
      <c r="B1911" s="5" t="s">
        <v>360</v>
      </c>
      <c r="C1911" s="5" t="s">
        <v>366</v>
      </c>
      <c r="D1911" s="5" t="s">
        <v>31</v>
      </c>
      <c r="E1911" s="5" t="s">
        <v>362</v>
      </c>
      <c r="F1911" s="5" t="s">
        <v>363</v>
      </c>
      <c r="G1911" s="5" t="s">
        <v>364</v>
      </c>
      <c r="H1911" s="5" t="s">
        <v>365</v>
      </c>
      <c r="I1911" s="5" t="s">
        <v>63</v>
      </c>
      <c r="J1911" s="5">
        <v>17.331247999999999</v>
      </c>
      <c r="K1911" s="5">
        <v>-96.487900999999994</v>
      </c>
      <c r="L1911" s="5" t="str">
        <f>HYPERLINK("https://maps.google.com/?q=17.331248,-96.487900999999994", "🔗 Ver Mapa")</f>
        <v>🔗 Ver Mapa</v>
      </c>
    </row>
    <row r="1912" spans="1:12" ht="43.5" x14ac:dyDescent="0.35">
      <c r="A1912" s="6" t="s">
        <v>359</v>
      </c>
      <c r="B1912" s="6" t="s">
        <v>360</v>
      </c>
      <c r="C1912" s="6" t="s">
        <v>366</v>
      </c>
      <c r="D1912" s="6" t="s">
        <v>31</v>
      </c>
      <c r="E1912" s="6" t="s">
        <v>362</v>
      </c>
      <c r="F1912" s="6" t="s">
        <v>363</v>
      </c>
      <c r="G1912" s="6" t="s">
        <v>364</v>
      </c>
      <c r="H1912" s="6" t="s">
        <v>365</v>
      </c>
      <c r="I1912" s="6" t="s">
        <v>63</v>
      </c>
      <c r="J1912" s="6">
        <v>17.335315999999999</v>
      </c>
      <c r="K1912" s="6">
        <v>-98.012051</v>
      </c>
      <c r="L1912" s="6" t="str">
        <f>HYPERLINK("https://maps.google.com/?q=17.335316,-98.012051", "🔗 Ver Mapa")</f>
        <v>🔗 Ver Mapa</v>
      </c>
    </row>
    <row r="1913" spans="1:12" ht="43.5" x14ac:dyDescent="0.35">
      <c r="A1913" s="5" t="s">
        <v>359</v>
      </c>
      <c r="B1913" s="5" t="s">
        <v>360</v>
      </c>
      <c r="C1913" s="5" t="s">
        <v>366</v>
      </c>
      <c r="D1913" s="5" t="s">
        <v>31</v>
      </c>
      <c r="E1913" s="5" t="s">
        <v>362</v>
      </c>
      <c r="F1913" s="5" t="s">
        <v>363</v>
      </c>
      <c r="G1913" s="5" t="s">
        <v>364</v>
      </c>
      <c r="H1913" s="5" t="s">
        <v>365</v>
      </c>
      <c r="I1913" s="5" t="s">
        <v>63</v>
      </c>
      <c r="J1913" s="5">
        <v>17.338730000000002</v>
      </c>
      <c r="K1913" s="5">
        <v>-96.152553999999995</v>
      </c>
      <c r="L1913" s="5" t="str">
        <f>HYPERLINK("https://maps.google.com/?q=17.33873,-96.152553999999995", "🔗 Ver Mapa")</f>
        <v>🔗 Ver Mapa</v>
      </c>
    </row>
    <row r="1914" spans="1:12" ht="43.5" x14ac:dyDescent="0.35">
      <c r="A1914" s="6" t="s">
        <v>359</v>
      </c>
      <c r="B1914" s="6" t="s">
        <v>360</v>
      </c>
      <c r="C1914" s="6" t="s">
        <v>366</v>
      </c>
      <c r="D1914" s="6" t="s">
        <v>31</v>
      </c>
      <c r="E1914" s="6" t="s">
        <v>362</v>
      </c>
      <c r="F1914" s="6" t="s">
        <v>363</v>
      </c>
      <c r="G1914" s="6" t="s">
        <v>364</v>
      </c>
      <c r="H1914" s="6" t="s">
        <v>365</v>
      </c>
      <c r="I1914" s="6" t="s">
        <v>63</v>
      </c>
      <c r="J1914" s="6">
        <v>17.361765999999999</v>
      </c>
      <c r="K1914" s="6">
        <v>-95.922253999999995</v>
      </c>
      <c r="L1914" s="6" t="str">
        <f>HYPERLINK("https://maps.google.com/?q=17.361766,-95.922253999999995", "🔗 Ver Mapa")</f>
        <v>🔗 Ver Mapa</v>
      </c>
    </row>
    <row r="1915" spans="1:12" ht="43.5" x14ac:dyDescent="0.35">
      <c r="A1915" s="5" t="s">
        <v>359</v>
      </c>
      <c r="B1915" s="5" t="s">
        <v>360</v>
      </c>
      <c r="C1915" s="5" t="s">
        <v>366</v>
      </c>
      <c r="D1915" s="5" t="s">
        <v>31</v>
      </c>
      <c r="E1915" s="5" t="s">
        <v>362</v>
      </c>
      <c r="F1915" s="5" t="s">
        <v>363</v>
      </c>
      <c r="G1915" s="5" t="s">
        <v>364</v>
      </c>
      <c r="H1915" s="5" t="s">
        <v>365</v>
      </c>
      <c r="I1915" s="5" t="s">
        <v>63</v>
      </c>
      <c r="J1915" s="5">
        <v>17.458341000000001</v>
      </c>
      <c r="K1915" s="5">
        <v>-97.225285</v>
      </c>
      <c r="L1915" s="5" t="str">
        <f>HYPERLINK("https://maps.google.com/?q=17.458341,-97.225285", "🔗 Ver Mapa")</f>
        <v>🔗 Ver Mapa</v>
      </c>
    </row>
    <row r="1916" spans="1:12" ht="43.5" x14ac:dyDescent="0.35">
      <c r="A1916" s="6" t="s">
        <v>359</v>
      </c>
      <c r="B1916" s="6" t="s">
        <v>360</v>
      </c>
      <c r="C1916" s="6" t="s">
        <v>366</v>
      </c>
      <c r="D1916" s="6" t="s">
        <v>31</v>
      </c>
      <c r="E1916" s="6" t="s">
        <v>362</v>
      </c>
      <c r="F1916" s="6" t="s">
        <v>363</v>
      </c>
      <c r="G1916" s="6" t="s">
        <v>364</v>
      </c>
      <c r="H1916" s="6" t="s">
        <v>365</v>
      </c>
      <c r="I1916" s="6" t="s">
        <v>63</v>
      </c>
      <c r="J1916" s="6">
        <v>17.501442000000001</v>
      </c>
      <c r="K1916" s="6">
        <v>-98.142583999999999</v>
      </c>
      <c r="L1916" s="6" t="str">
        <f>HYPERLINK("https://maps.google.com/?q=17.501442,-98.142583999999999", "🔗 Ver Mapa")</f>
        <v>🔗 Ver Mapa</v>
      </c>
    </row>
    <row r="1917" spans="1:12" ht="43.5" x14ac:dyDescent="0.35">
      <c r="A1917" s="5" t="s">
        <v>359</v>
      </c>
      <c r="B1917" s="5" t="s">
        <v>360</v>
      </c>
      <c r="C1917" s="5" t="s">
        <v>366</v>
      </c>
      <c r="D1917" s="5" t="s">
        <v>31</v>
      </c>
      <c r="E1917" s="5" t="s">
        <v>362</v>
      </c>
      <c r="F1917" s="5" t="s">
        <v>363</v>
      </c>
      <c r="G1917" s="5" t="s">
        <v>364</v>
      </c>
      <c r="H1917" s="5" t="s">
        <v>365</v>
      </c>
      <c r="I1917" s="5" t="s">
        <v>63</v>
      </c>
      <c r="J1917" s="5">
        <v>17.511838000000001</v>
      </c>
      <c r="K1917" s="5">
        <v>-97.488547999999994</v>
      </c>
      <c r="L1917" s="5" t="str">
        <f>HYPERLINK("https://maps.google.com/?q=17.511838,-97.488547999999994", "🔗 Ver Mapa")</f>
        <v>🔗 Ver Mapa</v>
      </c>
    </row>
    <row r="1918" spans="1:12" ht="43.5" x14ac:dyDescent="0.35">
      <c r="A1918" s="6" t="s">
        <v>359</v>
      </c>
      <c r="B1918" s="6" t="s">
        <v>360</v>
      </c>
      <c r="C1918" s="6" t="s">
        <v>366</v>
      </c>
      <c r="D1918" s="6" t="s">
        <v>31</v>
      </c>
      <c r="E1918" s="6" t="s">
        <v>362</v>
      </c>
      <c r="F1918" s="6" t="s">
        <v>363</v>
      </c>
      <c r="G1918" s="6" t="s">
        <v>364</v>
      </c>
      <c r="H1918" s="6" t="s">
        <v>365</v>
      </c>
      <c r="I1918" s="6" t="s">
        <v>63</v>
      </c>
      <c r="J1918" s="6">
        <v>17.724615</v>
      </c>
      <c r="K1918" s="6">
        <v>-97.323898</v>
      </c>
      <c r="L1918" s="6" t="str">
        <f>HYPERLINK("https://maps.google.com/?q=17.724615,-97.323898", "🔗 Ver Mapa")</f>
        <v>🔗 Ver Mapa</v>
      </c>
    </row>
    <row r="1919" spans="1:12" ht="43.5" x14ac:dyDescent="0.35">
      <c r="A1919" s="5" t="s">
        <v>359</v>
      </c>
      <c r="B1919" s="5" t="s">
        <v>360</v>
      </c>
      <c r="C1919" s="5" t="s">
        <v>366</v>
      </c>
      <c r="D1919" s="5" t="s">
        <v>31</v>
      </c>
      <c r="E1919" s="5" t="s">
        <v>362</v>
      </c>
      <c r="F1919" s="5" t="s">
        <v>363</v>
      </c>
      <c r="G1919" s="5" t="s">
        <v>364</v>
      </c>
      <c r="H1919" s="5" t="s">
        <v>365</v>
      </c>
      <c r="I1919" s="5" t="s">
        <v>63</v>
      </c>
      <c r="J1919" s="5">
        <v>17.801687000000001</v>
      </c>
      <c r="K1919" s="5">
        <v>-96.959688</v>
      </c>
      <c r="L1919" s="5" t="str">
        <f>HYPERLINK("https://maps.google.com/?q=17.801687,-96.959688", "🔗 Ver Mapa")</f>
        <v>🔗 Ver Mapa</v>
      </c>
    </row>
    <row r="1920" spans="1:12" ht="43.5" x14ac:dyDescent="0.35">
      <c r="A1920" s="6" t="s">
        <v>359</v>
      </c>
      <c r="B1920" s="6" t="s">
        <v>360</v>
      </c>
      <c r="C1920" s="6" t="s">
        <v>366</v>
      </c>
      <c r="D1920" s="6" t="s">
        <v>31</v>
      </c>
      <c r="E1920" s="6" t="s">
        <v>362</v>
      </c>
      <c r="F1920" s="6" t="s">
        <v>363</v>
      </c>
      <c r="G1920" s="6" t="s">
        <v>364</v>
      </c>
      <c r="H1920" s="6" t="s">
        <v>365</v>
      </c>
      <c r="I1920" s="6" t="s">
        <v>63</v>
      </c>
      <c r="J1920" s="6">
        <v>17.806621</v>
      </c>
      <c r="K1920" s="6">
        <v>-97.776161999999999</v>
      </c>
      <c r="L1920" s="6" t="str">
        <f>HYPERLINK("https://maps.google.com/?q=17.806621,-97.776161999999999", "🔗 Ver Mapa")</f>
        <v>🔗 Ver Mapa</v>
      </c>
    </row>
    <row r="1921" spans="1:12" ht="43.5" x14ac:dyDescent="0.35">
      <c r="A1921" s="5" t="s">
        <v>359</v>
      </c>
      <c r="B1921" s="5" t="s">
        <v>360</v>
      </c>
      <c r="C1921" s="5" t="s">
        <v>366</v>
      </c>
      <c r="D1921" s="5" t="s">
        <v>31</v>
      </c>
      <c r="E1921" s="5" t="s">
        <v>362</v>
      </c>
      <c r="F1921" s="5" t="s">
        <v>363</v>
      </c>
      <c r="G1921" s="5" t="s">
        <v>364</v>
      </c>
      <c r="H1921" s="5" t="s">
        <v>365</v>
      </c>
      <c r="I1921" s="5" t="s">
        <v>63</v>
      </c>
      <c r="J1921" s="5">
        <v>18.081168999999999</v>
      </c>
      <c r="K1921" s="5">
        <v>-96.118475000000004</v>
      </c>
      <c r="L1921" s="5" t="str">
        <f>HYPERLINK("https://maps.google.com/?q=18.081169,-96.118475000000004", "🔗 Ver Mapa")</f>
        <v>🔗 Ver Mapa</v>
      </c>
    </row>
    <row r="1922" spans="1:12" ht="43.5" x14ac:dyDescent="0.35">
      <c r="A1922" s="6" t="s">
        <v>359</v>
      </c>
      <c r="B1922" s="6" t="s">
        <v>360</v>
      </c>
      <c r="C1922" s="6" t="s">
        <v>366</v>
      </c>
      <c r="D1922" s="6" t="s">
        <v>31</v>
      </c>
      <c r="E1922" s="6" t="s">
        <v>362</v>
      </c>
      <c r="F1922" s="6" t="s">
        <v>363</v>
      </c>
      <c r="G1922" s="6" t="s">
        <v>364</v>
      </c>
      <c r="H1922" s="6" t="s">
        <v>365</v>
      </c>
      <c r="I1922" s="6" t="s">
        <v>63</v>
      </c>
      <c r="J1922" s="6">
        <v>18.13222</v>
      </c>
      <c r="K1922" s="6">
        <v>-97.070751000000001</v>
      </c>
      <c r="L1922" s="6" t="str">
        <f>HYPERLINK("https://maps.google.com/?q=18.13222,-97.070751000000001", "🔗 Ver Mapa")</f>
        <v>🔗 Ver Mapa</v>
      </c>
    </row>
    <row r="1923" spans="1:12" ht="43.5" x14ac:dyDescent="0.35">
      <c r="A1923" s="5" t="s">
        <v>359</v>
      </c>
      <c r="B1923" s="5" t="s">
        <v>360</v>
      </c>
      <c r="C1923" s="5" t="s">
        <v>367</v>
      </c>
      <c r="D1923" s="5" t="s">
        <v>31</v>
      </c>
      <c r="E1923" s="5" t="s">
        <v>362</v>
      </c>
      <c r="F1923" s="5" t="s">
        <v>363</v>
      </c>
      <c r="G1923" s="5" t="s">
        <v>364</v>
      </c>
      <c r="H1923" s="5" t="s">
        <v>365</v>
      </c>
      <c r="I1923" s="5" t="s">
        <v>63</v>
      </c>
      <c r="J1923" s="5">
        <v>15.746143999999999</v>
      </c>
      <c r="K1923" s="5">
        <v>-96.465182999999996</v>
      </c>
      <c r="L1923" s="5" t="str">
        <f>HYPERLINK("https://maps.google.com/?q=15.746144,-96.465182999999996", "🔗 Ver Mapa")</f>
        <v>🔗 Ver Mapa</v>
      </c>
    </row>
    <row r="1924" spans="1:12" ht="43.5" x14ac:dyDescent="0.35">
      <c r="A1924" s="6" t="s">
        <v>359</v>
      </c>
      <c r="B1924" s="6" t="s">
        <v>360</v>
      </c>
      <c r="C1924" s="6" t="s">
        <v>367</v>
      </c>
      <c r="D1924" s="6" t="s">
        <v>31</v>
      </c>
      <c r="E1924" s="6" t="s">
        <v>362</v>
      </c>
      <c r="F1924" s="6" t="s">
        <v>363</v>
      </c>
      <c r="G1924" s="6" t="s">
        <v>364</v>
      </c>
      <c r="H1924" s="6" t="s">
        <v>365</v>
      </c>
      <c r="I1924" s="6" t="s">
        <v>63</v>
      </c>
      <c r="J1924" s="6">
        <v>16.237075999999998</v>
      </c>
      <c r="K1924" s="6">
        <v>-97.292351999999994</v>
      </c>
      <c r="L1924" s="6" t="str">
        <f>HYPERLINK("https://maps.google.com/?q=16.237076,-97.292351999999994", "🔗 Ver Mapa")</f>
        <v>🔗 Ver Mapa</v>
      </c>
    </row>
    <row r="1925" spans="1:12" ht="43.5" x14ac:dyDescent="0.35">
      <c r="A1925" s="5" t="s">
        <v>359</v>
      </c>
      <c r="B1925" s="5" t="s">
        <v>360</v>
      </c>
      <c r="C1925" s="5" t="s">
        <v>367</v>
      </c>
      <c r="D1925" s="5" t="s">
        <v>31</v>
      </c>
      <c r="E1925" s="5" t="s">
        <v>362</v>
      </c>
      <c r="F1925" s="5" t="s">
        <v>363</v>
      </c>
      <c r="G1925" s="5" t="s">
        <v>364</v>
      </c>
      <c r="H1925" s="5" t="s">
        <v>365</v>
      </c>
      <c r="I1925" s="5" t="s">
        <v>63</v>
      </c>
      <c r="J1925" s="5">
        <v>16.279057999999999</v>
      </c>
      <c r="K1925" s="5">
        <v>-97.820240999999996</v>
      </c>
      <c r="L1925" s="5" t="str">
        <f>HYPERLINK("https://maps.google.com/?q=16.279058,-97.820240999999996", "🔗 Ver Mapa")</f>
        <v>🔗 Ver Mapa</v>
      </c>
    </row>
    <row r="1926" spans="1:12" ht="43.5" x14ac:dyDescent="0.35">
      <c r="A1926" s="6" t="s">
        <v>359</v>
      </c>
      <c r="B1926" s="6" t="s">
        <v>360</v>
      </c>
      <c r="C1926" s="6" t="s">
        <v>367</v>
      </c>
      <c r="D1926" s="6" t="s">
        <v>31</v>
      </c>
      <c r="E1926" s="6" t="s">
        <v>362</v>
      </c>
      <c r="F1926" s="6" t="s">
        <v>363</v>
      </c>
      <c r="G1926" s="6" t="s">
        <v>364</v>
      </c>
      <c r="H1926" s="6" t="s">
        <v>365</v>
      </c>
      <c r="I1926" s="6" t="s">
        <v>63</v>
      </c>
      <c r="J1926" s="6">
        <v>16.328751</v>
      </c>
      <c r="K1926" s="6">
        <v>-96.596529000000004</v>
      </c>
      <c r="L1926" s="6" t="str">
        <f>HYPERLINK("https://maps.google.com/?q=16.328751,-96.596529000000004", "🔗 Ver Mapa")</f>
        <v>🔗 Ver Mapa</v>
      </c>
    </row>
    <row r="1927" spans="1:12" ht="43.5" x14ac:dyDescent="0.35">
      <c r="A1927" s="5" t="s">
        <v>359</v>
      </c>
      <c r="B1927" s="5" t="s">
        <v>360</v>
      </c>
      <c r="C1927" s="5" t="s">
        <v>367</v>
      </c>
      <c r="D1927" s="5" t="s">
        <v>31</v>
      </c>
      <c r="E1927" s="5" t="s">
        <v>362</v>
      </c>
      <c r="F1927" s="5" t="s">
        <v>363</v>
      </c>
      <c r="G1927" s="5" t="s">
        <v>364</v>
      </c>
      <c r="H1927" s="5" t="s">
        <v>365</v>
      </c>
      <c r="I1927" s="5" t="s">
        <v>63</v>
      </c>
      <c r="J1927" s="5">
        <v>16.332014000000001</v>
      </c>
      <c r="K1927" s="5">
        <v>-95.231966</v>
      </c>
      <c r="L1927" s="5" t="str">
        <f>HYPERLINK("https://maps.google.com/?q=16.332014,-95.231966", "🔗 Ver Mapa")</f>
        <v>🔗 Ver Mapa</v>
      </c>
    </row>
    <row r="1928" spans="1:12" ht="43.5" x14ac:dyDescent="0.35">
      <c r="A1928" s="6" t="s">
        <v>359</v>
      </c>
      <c r="B1928" s="6" t="s">
        <v>360</v>
      </c>
      <c r="C1928" s="6" t="s">
        <v>367</v>
      </c>
      <c r="D1928" s="6" t="s">
        <v>31</v>
      </c>
      <c r="E1928" s="6" t="s">
        <v>362</v>
      </c>
      <c r="F1928" s="6" t="s">
        <v>363</v>
      </c>
      <c r="G1928" s="6" t="s">
        <v>364</v>
      </c>
      <c r="H1928" s="6" t="s">
        <v>365</v>
      </c>
      <c r="I1928" s="6" t="s">
        <v>63</v>
      </c>
      <c r="J1928" s="6">
        <v>16.433347000000001</v>
      </c>
      <c r="K1928" s="6">
        <v>-95.021687</v>
      </c>
      <c r="L1928" s="6" t="str">
        <f>HYPERLINK("https://maps.google.com/?q=16.433347,-95.021687", "🔗 Ver Mapa")</f>
        <v>🔗 Ver Mapa</v>
      </c>
    </row>
    <row r="1929" spans="1:12" ht="43.5" x14ac:dyDescent="0.35">
      <c r="A1929" s="5" t="s">
        <v>359</v>
      </c>
      <c r="B1929" s="5" t="s">
        <v>360</v>
      </c>
      <c r="C1929" s="5" t="s">
        <v>367</v>
      </c>
      <c r="D1929" s="5" t="s">
        <v>31</v>
      </c>
      <c r="E1929" s="5" t="s">
        <v>362</v>
      </c>
      <c r="F1929" s="5" t="s">
        <v>363</v>
      </c>
      <c r="G1929" s="5" t="s">
        <v>364</v>
      </c>
      <c r="H1929" s="5" t="s">
        <v>365</v>
      </c>
      <c r="I1929" s="5" t="s">
        <v>63</v>
      </c>
      <c r="J1929" s="5">
        <v>16.500512000000001</v>
      </c>
      <c r="K1929" s="5">
        <v>-96.106790000000004</v>
      </c>
      <c r="L1929" s="5" t="str">
        <f>HYPERLINK("https://maps.google.com/?q=16.500512,-96.106790000000004", "🔗 Ver Mapa")</f>
        <v>🔗 Ver Mapa</v>
      </c>
    </row>
    <row r="1930" spans="1:12" ht="43.5" x14ac:dyDescent="0.35">
      <c r="A1930" s="6" t="s">
        <v>359</v>
      </c>
      <c r="B1930" s="6" t="s">
        <v>360</v>
      </c>
      <c r="C1930" s="6" t="s">
        <v>367</v>
      </c>
      <c r="D1930" s="6" t="s">
        <v>31</v>
      </c>
      <c r="E1930" s="6" t="s">
        <v>362</v>
      </c>
      <c r="F1930" s="6" t="s">
        <v>363</v>
      </c>
      <c r="G1930" s="6" t="s">
        <v>364</v>
      </c>
      <c r="H1930" s="6" t="s">
        <v>365</v>
      </c>
      <c r="I1930" s="6" t="s">
        <v>63</v>
      </c>
      <c r="J1930" s="6">
        <v>16.519807</v>
      </c>
      <c r="K1930" s="6">
        <v>-96.983885000000001</v>
      </c>
      <c r="L1930" s="6" t="str">
        <f>HYPERLINK("https://maps.google.com/?q=16.519807,-96.983885000000001", "🔗 Ver Mapa")</f>
        <v>🔗 Ver Mapa</v>
      </c>
    </row>
    <row r="1931" spans="1:12" ht="43.5" x14ac:dyDescent="0.35">
      <c r="A1931" s="5" t="s">
        <v>359</v>
      </c>
      <c r="B1931" s="5" t="s">
        <v>360</v>
      </c>
      <c r="C1931" s="5" t="s">
        <v>367</v>
      </c>
      <c r="D1931" s="5" t="s">
        <v>31</v>
      </c>
      <c r="E1931" s="5" t="s">
        <v>362</v>
      </c>
      <c r="F1931" s="5" t="s">
        <v>363</v>
      </c>
      <c r="G1931" s="5" t="s">
        <v>364</v>
      </c>
      <c r="H1931" s="5" t="s">
        <v>365</v>
      </c>
      <c r="I1931" s="5" t="s">
        <v>63</v>
      </c>
      <c r="J1931" s="5">
        <v>16.564243999999999</v>
      </c>
      <c r="K1931" s="5">
        <v>-96.731829000000005</v>
      </c>
      <c r="L1931" s="5" t="str">
        <f>HYPERLINK("https://maps.google.com/?q=16.564244,-96.731829000000005", "🔗 Ver Mapa")</f>
        <v>🔗 Ver Mapa</v>
      </c>
    </row>
    <row r="1932" spans="1:12" ht="43.5" x14ac:dyDescent="0.35">
      <c r="A1932" s="6" t="s">
        <v>359</v>
      </c>
      <c r="B1932" s="6" t="s">
        <v>360</v>
      </c>
      <c r="C1932" s="6" t="s">
        <v>367</v>
      </c>
      <c r="D1932" s="6" t="s">
        <v>31</v>
      </c>
      <c r="E1932" s="6" t="s">
        <v>362</v>
      </c>
      <c r="F1932" s="6" t="s">
        <v>363</v>
      </c>
      <c r="G1932" s="6" t="s">
        <v>364</v>
      </c>
      <c r="H1932" s="6" t="s">
        <v>365</v>
      </c>
      <c r="I1932" s="6" t="s">
        <v>63</v>
      </c>
      <c r="J1932" s="6">
        <v>16.791625</v>
      </c>
      <c r="K1932" s="6">
        <v>-96.674999</v>
      </c>
      <c r="L1932" s="6" t="str">
        <f>HYPERLINK("https://maps.google.com/?q=16.791625,-96.674999", "🔗 Ver Mapa")</f>
        <v>🔗 Ver Mapa</v>
      </c>
    </row>
    <row r="1933" spans="1:12" ht="43.5" x14ac:dyDescent="0.35">
      <c r="A1933" s="5" t="s">
        <v>359</v>
      </c>
      <c r="B1933" s="5" t="s">
        <v>360</v>
      </c>
      <c r="C1933" s="5" t="s">
        <v>367</v>
      </c>
      <c r="D1933" s="5" t="s">
        <v>31</v>
      </c>
      <c r="E1933" s="5" t="s">
        <v>362</v>
      </c>
      <c r="F1933" s="5" t="s">
        <v>363</v>
      </c>
      <c r="G1933" s="5" t="s">
        <v>364</v>
      </c>
      <c r="H1933" s="5" t="s">
        <v>365</v>
      </c>
      <c r="I1933" s="5" t="s">
        <v>63</v>
      </c>
      <c r="J1933" s="5">
        <v>16.866371000000001</v>
      </c>
      <c r="K1933" s="5">
        <v>-96.785623000000001</v>
      </c>
      <c r="L1933" s="5" t="str">
        <f>HYPERLINK("https://maps.google.com/?q=16.866371,-96.785623000000001", "🔗 Ver Mapa")</f>
        <v>🔗 Ver Mapa</v>
      </c>
    </row>
    <row r="1934" spans="1:12" ht="43.5" x14ac:dyDescent="0.35">
      <c r="A1934" s="6" t="s">
        <v>359</v>
      </c>
      <c r="B1934" s="6" t="s">
        <v>360</v>
      </c>
      <c r="C1934" s="6" t="s">
        <v>367</v>
      </c>
      <c r="D1934" s="6" t="s">
        <v>31</v>
      </c>
      <c r="E1934" s="6" t="s">
        <v>362</v>
      </c>
      <c r="F1934" s="6" t="s">
        <v>363</v>
      </c>
      <c r="G1934" s="6" t="s">
        <v>364</v>
      </c>
      <c r="H1934" s="6" t="s">
        <v>365</v>
      </c>
      <c r="I1934" s="6" t="s">
        <v>63</v>
      </c>
      <c r="J1934" s="6">
        <v>16.950706</v>
      </c>
      <c r="K1934" s="6">
        <v>-96.750504000000006</v>
      </c>
      <c r="L1934" s="6" t="str">
        <f>HYPERLINK("https://maps.google.com/?q=16.950706,-96.750504000000006", "🔗 Ver Mapa")</f>
        <v>🔗 Ver Mapa</v>
      </c>
    </row>
    <row r="1935" spans="1:12" ht="43.5" x14ac:dyDescent="0.35">
      <c r="A1935" s="5" t="s">
        <v>359</v>
      </c>
      <c r="B1935" s="5" t="s">
        <v>360</v>
      </c>
      <c r="C1935" s="5" t="s">
        <v>367</v>
      </c>
      <c r="D1935" s="5" t="s">
        <v>31</v>
      </c>
      <c r="E1935" s="5" t="s">
        <v>362</v>
      </c>
      <c r="F1935" s="5" t="s">
        <v>363</v>
      </c>
      <c r="G1935" s="5" t="s">
        <v>364</v>
      </c>
      <c r="H1935" s="5" t="s">
        <v>365</v>
      </c>
      <c r="I1935" s="5" t="s">
        <v>63</v>
      </c>
      <c r="J1935" s="5">
        <v>16.955580000000001</v>
      </c>
      <c r="K1935" s="5">
        <v>-96.479206000000005</v>
      </c>
      <c r="L1935" s="5" t="str">
        <f>HYPERLINK("https://maps.google.com/?q=16.95558,-96.479206000000005", "🔗 Ver Mapa")</f>
        <v>🔗 Ver Mapa</v>
      </c>
    </row>
    <row r="1936" spans="1:12" ht="43.5" x14ac:dyDescent="0.35">
      <c r="A1936" s="6" t="s">
        <v>359</v>
      </c>
      <c r="B1936" s="6" t="s">
        <v>360</v>
      </c>
      <c r="C1936" s="6" t="s">
        <v>367</v>
      </c>
      <c r="D1936" s="6" t="s">
        <v>31</v>
      </c>
      <c r="E1936" s="6" t="s">
        <v>362</v>
      </c>
      <c r="F1936" s="6" t="s">
        <v>363</v>
      </c>
      <c r="G1936" s="6" t="s">
        <v>364</v>
      </c>
      <c r="H1936" s="6" t="s">
        <v>365</v>
      </c>
      <c r="I1936" s="6" t="s">
        <v>63</v>
      </c>
      <c r="J1936" s="6">
        <v>17.026216000000002</v>
      </c>
      <c r="K1936" s="6">
        <v>-97.928115000000005</v>
      </c>
      <c r="L1936" s="6" t="str">
        <f>HYPERLINK("https://maps.google.com/?q=17.026216,-97.928115000000005", "🔗 Ver Mapa")</f>
        <v>🔗 Ver Mapa</v>
      </c>
    </row>
    <row r="1937" spans="1:12" ht="43.5" x14ac:dyDescent="0.35">
      <c r="A1937" s="5" t="s">
        <v>359</v>
      </c>
      <c r="B1937" s="5" t="s">
        <v>360</v>
      </c>
      <c r="C1937" s="5" t="s">
        <v>367</v>
      </c>
      <c r="D1937" s="5" t="s">
        <v>31</v>
      </c>
      <c r="E1937" s="5" t="s">
        <v>362</v>
      </c>
      <c r="F1937" s="5" t="s">
        <v>363</v>
      </c>
      <c r="G1937" s="5" t="s">
        <v>364</v>
      </c>
      <c r="H1937" s="5" t="s">
        <v>365</v>
      </c>
      <c r="I1937" s="5" t="s">
        <v>63</v>
      </c>
      <c r="J1937" s="5">
        <v>17.027131000000001</v>
      </c>
      <c r="K1937" s="5">
        <v>-96.077044000000001</v>
      </c>
      <c r="L1937" s="5" t="str">
        <f>HYPERLINK("https://maps.google.com/?q=17.027131,-96.077044000000001", "🔗 Ver Mapa")</f>
        <v>🔗 Ver Mapa</v>
      </c>
    </row>
    <row r="1938" spans="1:12" ht="43.5" x14ac:dyDescent="0.35">
      <c r="A1938" s="6" t="s">
        <v>359</v>
      </c>
      <c r="B1938" s="6" t="s">
        <v>360</v>
      </c>
      <c r="C1938" s="6" t="s">
        <v>367</v>
      </c>
      <c r="D1938" s="6" t="s">
        <v>31</v>
      </c>
      <c r="E1938" s="6" t="s">
        <v>362</v>
      </c>
      <c r="F1938" s="6" t="s">
        <v>363</v>
      </c>
      <c r="G1938" s="6" t="s">
        <v>364</v>
      </c>
      <c r="H1938" s="6" t="s">
        <v>365</v>
      </c>
      <c r="I1938" s="6" t="s">
        <v>63</v>
      </c>
      <c r="J1938" s="6">
        <v>17.063777999999999</v>
      </c>
      <c r="K1938" s="6">
        <v>-96.729971000000006</v>
      </c>
      <c r="L1938" s="6" t="str">
        <f>HYPERLINK("https://maps.google.com/?q=17.063778,-96.729971000000006", "🔗 Ver Mapa")</f>
        <v>🔗 Ver Mapa</v>
      </c>
    </row>
    <row r="1939" spans="1:12" ht="43.5" x14ac:dyDescent="0.35">
      <c r="A1939" s="5" t="s">
        <v>359</v>
      </c>
      <c r="B1939" s="5" t="s">
        <v>360</v>
      </c>
      <c r="C1939" s="5" t="s">
        <v>367</v>
      </c>
      <c r="D1939" s="5" t="s">
        <v>31</v>
      </c>
      <c r="E1939" s="5" t="s">
        <v>362</v>
      </c>
      <c r="F1939" s="5" t="s">
        <v>363</v>
      </c>
      <c r="G1939" s="5" t="s">
        <v>364</v>
      </c>
      <c r="H1939" s="5" t="s">
        <v>365</v>
      </c>
      <c r="I1939" s="5" t="s">
        <v>63</v>
      </c>
      <c r="J1939" s="5">
        <v>17.207464000000002</v>
      </c>
      <c r="K1939" s="5">
        <v>-96.801094000000006</v>
      </c>
      <c r="L1939" s="5" t="str">
        <f>HYPERLINK("https://maps.google.com/?q=17.207464,-96.801094000000006", "🔗 Ver Mapa")</f>
        <v>🔗 Ver Mapa</v>
      </c>
    </row>
    <row r="1940" spans="1:12" ht="43.5" x14ac:dyDescent="0.35">
      <c r="A1940" s="6" t="s">
        <v>359</v>
      </c>
      <c r="B1940" s="6" t="s">
        <v>360</v>
      </c>
      <c r="C1940" s="6" t="s">
        <v>367</v>
      </c>
      <c r="D1940" s="6" t="s">
        <v>31</v>
      </c>
      <c r="E1940" s="6" t="s">
        <v>362</v>
      </c>
      <c r="F1940" s="6" t="s">
        <v>363</v>
      </c>
      <c r="G1940" s="6" t="s">
        <v>364</v>
      </c>
      <c r="H1940" s="6" t="s">
        <v>365</v>
      </c>
      <c r="I1940" s="6" t="s">
        <v>63</v>
      </c>
      <c r="J1940" s="6">
        <v>17.267448999999999</v>
      </c>
      <c r="K1940" s="6">
        <v>-97.680485000000004</v>
      </c>
      <c r="L1940" s="6" t="str">
        <f>HYPERLINK("https://maps.google.com/?q=17.267449,-97.680485000000004", "🔗 Ver Mapa")</f>
        <v>🔗 Ver Mapa</v>
      </c>
    </row>
    <row r="1941" spans="1:12" ht="43.5" x14ac:dyDescent="0.35">
      <c r="A1941" s="5" t="s">
        <v>359</v>
      </c>
      <c r="B1941" s="5" t="s">
        <v>360</v>
      </c>
      <c r="C1941" s="5" t="s">
        <v>367</v>
      </c>
      <c r="D1941" s="5" t="s">
        <v>31</v>
      </c>
      <c r="E1941" s="5" t="s">
        <v>362</v>
      </c>
      <c r="F1941" s="5" t="s">
        <v>363</v>
      </c>
      <c r="G1941" s="5" t="s">
        <v>364</v>
      </c>
      <c r="H1941" s="5" t="s">
        <v>365</v>
      </c>
      <c r="I1941" s="5" t="s">
        <v>63</v>
      </c>
      <c r="J1941" s="5">
        <v>17.331247999999999</v>
      </c>
      <c r="K1941" s="5">
        <v>-96.487900999999994</v>
      </c>
      <c r="L1941" s="5" t="str">
        <f>HYPERLINK("https://maps.google.com/?q=17.331248,-96.487900999999994", "🔗 Ver Mapa")</f>
        <v>🔗 Ver Mapa</v>
      </c>
    </row>
    <row r="1942" spans="1:12" ht="43.5" x14ac:dyDescent="0.35">
      <c r="A1942" s="6" t="s">
        <v>359</v>
      </c>
      <c r="B1942" s="6" t="s">
        <v>360</v>
      </c>
      <c r="C1942" s="6" t="s">
        <v>367</v>
      </c>
      <c r="D1942" s="6" t="s">
        <v>31</v>
      </c>
      <c r="E1942" s="6" t="s">
        <v>362</v>
      </c>
      <c r="F1942" s="6" t="s">
        <v>363</v>
      </c>
      <c r="G1942" s="6" t="s">
        <v>364</v>
      </c>
      <c r="H1942" s="6" t="s">
        <v>365</v>
      </c>
      <c r="I1942" s="6" t="s">
        <v>63</v>
      </c>
      <c r="J1942" s="6">
        <v>17.335315999999999</v>
      </c>
      <c r="K1942" s="6">
        <v>-98.012051</v>
      </c>
      <c r="L1942" s="6" t="str">
        <f>HYPERLINK("https://maps.google.com/?q=17.335316,-98.012051", "🔗 Ver Mapa")</f>
        <v>🔗 Ver Mapa</v>
      </c>
    </row>
    <row r="1943" spans="1:12" ht="43.5" x14ac:dyDescent="0.35">
      <c r="A1943" s="5" t="s">
        <v>359</v>
      </c>
      <c r="B1943" s="5" t="s">
        <v>360</v>
      </c>
      <c r="C1943" s="5" t="s">
        <v>367</v>
      </c>
      <c r="D1943" s="5" t="s">
        <v>31</v>
      </c>
      <c r="E1943" s="5" t="s">
        <v>362</v>
      </c>
      <c r="F1943" s="5" t="s">
        <v>363</v>
      </c>
      <c r="G1943" s="5" t="s">
        <v>364</v>
      </c>
      <c r="H1943" s="5" t="s">
        <v>365</v>
      </c>
      <c r="I1943" s="5" t="s">
        <v>63</v>
      </c>
      <c r="J1943" s="5">
        <v>17.338730000000002</v>
      </c>
      <c r="K1943" s="5">
        <v>-96.152553999999995</v>
      </c>
      <c r="L1943" s="5" t="str">
        <f>HYPERLINK("https://maps.google.com/?q=17.33873,-96.152553999999995", "🔗 Ver Mapa")</f>
        <v>🔗 Ver Mapa</v>
      </c>
    </row>
    <row r="1944" spans="1:12" ht="43.5" x14ac:dyDescent="0.35">
      <c r="A1944" s="6" t="s">
        <v>359</v>
      </c>
      <c r="B1944" s="6" t="s">
        <v>360</v>
      </c>
      <c r="C1944" s="6" t="s">
        <v>367</v>
      </c>
      <c r="D1944" s="6" t="s">
        <v>31</v>
      </c>
      <c r="E1944" s="6" t="s">
        <v>362</v>
      </c>
      <c r="F1944" s="6" t="s">
        <v>363</v>
      </c>
      <c r="G1944" s="6" t="s">
        <v>364</v>
      </c>
      <c r="H1944" s="6" t="s">
        <v>365</v>
      </c>
      <c r="I1944" s="6" t="s">
        <v>63</v>
      </c>
      <c r="J1944" s="6">
        <v>17.361765999999999</v>
      </c>
      <c r="K1944" s="6">
        <v>-95.922253999999995</v>
      </c>
      <c r="L1944" s="6" t="str">
        <f>HYPERLINK("https://maps.google.com/?q=17.361766,-95.922253999999995", "🔗 Ver Mapa")</f>
        <v>🔗 Ver Mapa</v>
      </c>
    </row>
    <row r="1945" spans="1:12" ht="43.5" x14ac:dyDescent="0.35">
      <c r="A1945" s="5" t="s">
        <v>359</v>
      </c>
      <c r="B1945" s="5" t="s">
        <v>360</v>
      </c>
      <c r="C1945" s="5" t="s">
        <v>367</v>
      </c>
      <c r="D1945" s="5" t="s">
        <v>31</v>
      </c>
      <c r="E1945" s="5" t="s">
        <v>362</v>
      </c>
      <c r="F1945" s="5" t="s">
        <v>363</v>
      </c>
      <c r="G1945" s="5" t="s">
        <v>364</v>
      </c>
      <c r="H1945" s="5" t="s">
        <v>365</v>
      </c>
      <c r="I1945" s="5" t="s">
        <v>63</v>
      </c>
      <c r="J1945" s="5">
        <v>17.458341000000001</v>
      </c>
      <c r="K1945" s="5">
        <v>-97.225285</v>
      </c>
      <c r="L1945" s="5" t="str">
        <f>HYPERLINK("https://maps.google.com/?q=17.458341,-97.225285", "🔗 Ver Mapa")</f>
        <v>🔗 Ver Mapa</v>
      </c>
    </row>
    <row r="1946" spans="1:12" ht="43.5" x14ac:dyDescent="0.35">
      <c r="A1946" s="6" t="s">
        <v>359</v>
      </c>
      <c r="B1946" s="6" t="s">
        <v>360</v>
      </c>
      <c r="C1946" s="6" t="s">
        <v>367</v>
      </c>
      <c r="D1946" s="6" t="s">
        <v>31</v>
      </c>
      <c r="E1946" s="6" t="s">
        <v>362</v>
      </c>
      <c r="F1946" s="6" t="s">
        <v>363</v>
      </c>
      <c r="G1946" s="6" t="s">
        <v>364</v>
      </c>
      <c r="H1946" s="6" t="s">
        <v>365</v>
      </c>
      <c r="I1946" s="6" t="s">
        <v>63</v>
      </c>
      <c r="J1946" s="6">
        <v>17.501442000000001</v>
      </c>
      <c r="K1946" s="6">
        <v>-98.142583999999999</v>
      </c>
      <c r="L1946" s="6" t="str">
        <f>HYPERLINK("https://maps.google.com/?q=17.501442,-98.142583999999999", "🔗 Ver Mapa")</f>
        <v>🔗 Ver Mapa</v>
      </c>
    </row>
    <row r="1947" spans="1:12" ht="43.5" x14ac:dyDescent="0.35">
      <c r="A1947" s="5" t="s">
        <v>359</v>
      </c>
      <c r="B1947" s="5" t="s">
        <v>360</v>
      </c>
      <c r="C1947" s="5" t="s">
        <v>367</v>
      </c>
      <c r="D1947" s="5" t="s">
        <v>31</v>
      </c>
      <c r="E1947" s="5" t="s">
        <v>362</v>
      </c>
      <c r="F1947" s="5" t="s">
        <v>363</v>
      </c>
      <c r="G1947" s="5" t="s">
        <v>364</v>
      </c>
      <c r="H1947" s="5" t="s">
        <v>365</v>
      </c>
      <c r="I1947" s="5" t="s">
        <v>63</v>
      </c>
      <c r="J1947" s="5">
        <v>17.511838000000001</v>
      </c>
      <c r="K1947" s="5">
        <v>-97.488547999999994</v>
      </c>
      <c r="L1947" s="5" t="str">
        <f>HYPERLINK("https://maps.google.com/?q=17.511838,-97.488547999999994", "🔗 Ver Mapa")</f>
        <v>🔗 Ver Mapa</v>
      </c>
    </row>
    <row r="1948" spans="1:12" ht="43.5" x14ac:dyDescent="0.35">
      <c r="A1948" s="6" t="s">
        <v>359</v>
      </c>
      <c r="B1948" s="6" t="s">
        <v>360</v>
      </c>
      <c r="C1948" s="6" t="s">
        <v>367</v>
      </c>
      <c r="D1948" s="6" t="s">
        <v>31</v>
      </c>
      <c r="E1948" s="6" t="s">
        <v>362</v>
      </c>
      <c r="F1948" s="6" t="s">
        <v>363</v>
      </c>
      <c r="G1948" s="6" t="s">
        <v>364</v>
      </c>
      <c r="H1948" s="6" t="s">
        <v>365</v>
      </c>
      <c r="I1948" s="6" t="s">
        <v>63</v>
      </c>
      <c r="J1948" s="6">
        <v>17.724615</v>
      </c>
      <c r="K1948" s="6">
        <v>-97.323898</v>
      </c>
      <c r="L1948" s="6" t="str">
        <f>HYPERLINK("https://maps.google.com/?q=17.724615,-97.323898", "🔗 Ver Mapa")</f>
        <v>🔗 Ver Mapa</v>
      </c>
    </row>
    <row r="1949" spans="1:12" ht="43.5" x14ac:dyDescent="0.35">
      <c r="A1949" s="5" t="s">
        <v>359</v>
      </c>
      <c r="B1949" s="5" t="s">
        <v>360</v>
      </c>
      <c r="C1949" s="5" t="s">
        <v>367</v>
      </c>
      <c r="D1949" s="5" t="s">
        <v>31</v>
      </c>
      <c r="E1949" s="5" t="s">
        <v>362</v>
      </c>
      <c r="F1949" s="5" t="s">
        <v>363</v>
      </c>
      <c r="G1949" s="5" t="s">
        <v>364</v>
      </c>
      <c r="H1949" s="5" t="s">
        <v>365</v>
      </c>
      <c r="I1949" s="5" t="s">
        <v>63</v>
      </c>
      <c r="J1949" s="5">
        <v>17.801687000000001</v>
      </c>
      <c r="K1949" s="5">
        <v>-96.959688</v>
      </c>
      <c r="L1949" s="5" t="str">
        <f>HYPERLINK("https://maps.google.com/?q=17.801687,-96.959688", "🔗 Ver Mapa")</f>
        <v>🔗 Ver Mapa</v>
      </c>
    </row>
    <row r="1950" spans="1:12" ht="43.5" x14ac:dyDescent="0.35">
      <c r="A1950" s="6" t="s">
        <v>359</v>
      </c>
      <c r="B1950" s="6" t="s">
        <v>360</v>
      </c>
      <c r="C1950" s="6" t="s">
        <v>367</v>
      </c>
      <c r="D1950" s="6" t="s">
        <v>31</v>
      </c>
      <c r="E1950" s="6" t="s">
        <v>362</v>
      </c>
      <c r="F1950" s="6" t="s">
        <v>363</v>
      </c>
      <c r="G1950" s="6" t="s">
        <v>364</v>
      </c>
      <c r="H1950" s="6" t="s">
        <v>365</v>
      </c>
      <c r="I1950" s="6" t="s">
        <v>63</v>
      </c>
      <c r="J1950" s="6">
        <v>17.806621</v>
      </c>
      <c r="K1950" s="6">
        <v>-97.776161999999999</v>
      </c>
      <c r="L1950" s="6" t="str">
        <f>HYPERLINK("https://maps.google.com/?q=17.806621,-97.776161999999999", "🔗 Ver Mapa")</f>
        <v>🔗 Ver Mapa</v>
      </c>
    </row>
    <row r="1951" spans="1:12" ht="43.5" x14ac:dyDescent="0.35">
      <c r="A1951" s="5" t="s">
        <v>359</v>
      </c>
      <c r="B1951" s="5" t="s">
        <v>360</v>
      </c>
      <c r="C1951" s="5" t="s">
        <v>367</v>
      </c>
      <c r="D1951" s="5" t="s">
        <v>31</v>
      </c>
      <c r="E1951" s="5" t="s">
        <v>362</v>
      </c>
      <c r="F1951" s="5" t="s">
        <v>363</v>
      </c>
      <c r="G1951" s="5" t="s">
        <v>364</v>
      </c>
      <c r="H1951" s="5" t="s">
        <v>365</v>
      </c>
      <c r="I1951" s="5" t="s">
        <v>63</v>
      </c>
      <c r="J1951" s="5">
        <v>18.081168999999999</v>
      </c>
      <c r="K1951" s="5">
        <v>-96.118475000000004</v>
      </c>
      <c r="L1951" s="5" t="str">
        <f>HYPERLINK("https://maps.google.com/?q=18.081169,-96.118475000000004", "🔗 Ver Mapa")</f>
        <v>🔗 Ver Mapa</v>
      </c>
    </row>
    <row r="1952" spans="1:12" ht="43.5" x14ac:dyDescent="0.35">
      <c r="A1952" s="6" t="s">
        <v>359</v>
      </c>
      <c r="B1952" s="6" t="s">
        <v>360</v>
      </c>
      <c r="C1952" s="6" t="s">
        <v>367</v>
      </c>
      <c r="D1952" s="6" t="s">
        <v>31</v>
      </c>
      <c r="E1952" s="6" t="s">
        <v>362</v>
      </c>
      <c r="F1952" s="6" t="s">
        <v>363</v>
      </c>
      <c r="G1952" s="6" t="s">
        <v>364</v>
      </c>
      <c r="H1952" s="6" t="s">
        <v>365</v>
      </c>
      <c r="I1952" s="6" t="s">
        <v>63</v>
      </c>
      <c r="J1952" s="6">
        <v>18.13222</v>
      </c>
      <c r="K1952" s="6">
        <v>-97.070751000000001</v>
      </c>
      <c r="L1952" s="6" t="str">
        <f>HYPERLINK("https://maps.google.com/?q=18.13222,-97.070751000000001", "🔗 Ver Mapa")</f>
        <v>🔗 Ver Mapa</v>
      </c>
    </row>
    <row r="1953" spans="1:12" ht="43.5" x14ac:dyDescent="0.35">
      <c r="A1953" s="5" t="s">
        <v>359</v>
      </c>
      <c r="B1953" s="5" t="s">
        <v>360</v>
      </c>
      <c r="C1953" s="5" t="s">
        <v>368</v>
      </c>
      <c r="D1953" s="5" t="s">
        <v>31</v>
      </c>
      <c r="E1953" s="5" t="s">
        <v>362</v>
      </c>
      <c r="F1953" s="5" t="s">
        <v>363</v>
      </c>
      <c r="G1953" s="5" t="s">
        <v>364</v>
      </c>
      <c r="H1953" s="5" t="s">
        <v>365</v>
      </c>
      <c r="I1953" s="5" t="s">
        <v>63</v>
      </c>
      <c r="J1953" s="5">
        <v>15.746143999999999</v>
      </c>
      <c r="K1953" s="5">
        <v>-96.465182999999996</v>
      </c>
      <c r="L1953" s="5" t="str">
        <f>HYPERLINK("https://maps.google.com/?q=15.746144,-96.465182999999996", "🔗 Ver Mapa")</f>
        <v>🔗 Ver Mapa</v>
      </c>
    </row>
    <row r="1954" spans="1:12" ht="43.5" x14ac:dyDescent="0.35">
      <c r="A1954" s="6" t="s">
        <v>359</v>
      </c>
      <c r="B1954" s="6" t="s">
        <v>360</v>
      </c>
      <c r="C1954" s="6" t="s">
        <v>368</v>
      </c>
      <c r="D1954" s="6" t="s">
        <v>31</v>
      </c>
      <c r="E1954" s="6" t="s">
        <v>362</v>
      </c>
      <c r="F1954" s="6" t="s">
        <v>363</v>
      </c>
      <c r="G1954" s="6" t="s">
        <v>364</v>
      </c>
      <c r="H1954" s="6" t="s">
        <v>365</v>
      </c>
      <c r="I1954" s="6" t="s">
        <v>63</v>
      </c>
      <c r="J1954" s="6">
        <v>16.237075999999998</v>
      </c>
      <c r="K1954" s="6">
        <v>-97.292351999999994</v>
      </c>
      <c r="L1954" s="6" t="str">
        <f>HYPERLINK("https://maps.google.com/?q=16.237076,-97.292351999999994", "🔗 Ver Mapa")</f>
        <v>🔗 Ver Mapa</v>
      </c>
    </row>
    <row r="1955" spans="1:12" ht="43.5" x14ac:dyDescent="0.35">
      <c r="A1955" s="5" t="s">
        <v>359</v>
      </c>
      <c r="B1955" s="5" t="s">
        <v>360</v>
      </c>
      <c r="C1955" s="5" t="s">
        <v>368</v>
      </c>
      <c r="D1955" s="5" t="s">
        <v>31</v>
      </c>
      <c r="E1955" s="5" t="s">
        <v>362</v>
      </c>
      <c r="F1955" s="5" t="s">
        <v>363</v>
      </c>
      <c r="G1955" s="5" t="s">
        <v>364</v>
      </c>
      <c r="H1955" s="5" t="s">
        <v>365</v>
      </c>
      <c r="I1955" s="5" t="s">
        <v>63</v>
      </c>
      <c r="J1955" s="5">
        <v>16.279057999999999</v>
      </c>
      <c r="K1955" s="5">
        <v>-97.820240999999996</v>
      </c>
      <c r="L1955" s="5" t="str">
        <f>HYPERLINK("https://maps.google.com/?q=16.279058,-97.820240999999996", "🔗 Ver Mapa")</f>
        <v>🔗 Ver Mapa</v>
      </c>
    </row>
    <row r="1956" spans="1:12" ht="43.5" x14ac:dyDescent="0.35">
      <c r="A1956" s="6" t="s">
        <v>359</v>
      </c>
      <c r="B1956" s="6" t="s">
        <v>360</v>
      </c>
      <c r="C1956" s="6" t="s">
        <v>368</v>
      </c>
      <c r="D1956" s="6" t="s">
        <v>31</v>
      </c>
      <c r="E1956" s="6" t="s">
        <v>362</v>
      </c>
      <c r="F1956" s="6" t="s">
        <v>363</v>
      </c>
      <c r="G1956" s="6" t="s">
        <v>364</v>
      </c>
      <c r="H1956" s="6" t="s">
        <v>365</v>
      </c>
      <c r="I1956" s="6" t="s">
        <v>63</v>
      </c>
      <c r="J1956" s="6">
        <v>16.328751</v>
      </c>
      <c r="K1956" s="6">
        <v>-96.596529000000004</v>
      </c>
      <c r="L1956" s="6" t="str">
        <f>HYPERLINK("https://maps.google.com/?q=16.328751,-96.596529000000004", "🔗 Ver Mapa")</f>
        <v>🔗 Ver Mapa</v>
      </c>
    </row>
    <row r="1957" spans="1:12" ht="43.5" x14ac:dyDescent="0.35">
      <c r="A1957" s="5" t="s">
        <v>359</v>
      </c>
      <c r="B1957" s="5" t="s">
        <v>360</v>
      </c>
      <c r="C1957" s="5" t="s">
        <v>368</v>
      </c>
      <c r="D1957" s="5" t="s">
        <v>31</v>
      </c>
      <c r="E1957" s="5" t="s">
        <v>362</v>
      </c>
      <c r="F1957" s="5" t="s">
        <v>363</v>
      </c>
      <c r="G1957" s="5" t="s">
        <v>364</v>
      </c>
      <c r="H1957" s="5" t="s">
        <v>365</v>
      </c>
      <c r="I1957" s="5" t="s">
        <v>63</v>
      </c>
      <c r="J1957" s="5">
        <v>16.332014000000001</v>
      </c>
      <c r="K1957" s="5">
        <v>-95.231966</v>
      </c>
      <c r="L1957" s="5" t="str">
        <f>HYPERLINK("https://maps.google.com/?q=16.332014,-95.231966", "🔗 Ver Mapa")</f>
        <v>🔗 Ver Mapa</v>
      </c>
    </row>
    <row r="1958" spans="1:12" ht="43.5" x14ac:dyDescent="0.35">
      <c r="A1958" s="6" t="s">
        <v>359</v>
      </c>
      <c r="B1958" s="6" t="s">
        <v>360</v>
      </c>
      <c r="C1958" s="6" t="s">
        <v>368</v>
      </c>
      <c r="D1958" s="6" t="s">
        <v>31</v>
      </c>
      <c r="E1958" s="6" t="s">
        <v>362</v>
      </c>
      <c r="F1958" s="6" t="s">
        <v>363</v>
      </c>
      <c r="G1958" s="6" t="s">
        <v>364</v>
      </c>
      <c r="H1958" s="6" t="s">
        <v>365</v>
      </c>
      <c r="I1958" s="6" t="s">
        <v>63</v>
      </c>
      <c r="J1958" s="6">
        <v>16.433347000000001</v>
      </c>
      <c r="K1958" s="6">
        <v>-95.021687</v>
      </c>
      <c r="L1958" s="6" t="str">
        <f>HYPERLINK("https://maps.google.com/?q=16.433347,-95.021687", "🔗 Ver Mapa")</f>
        <v>🔗 Ver Mapa</v>
      </c>
    </row>
    <row r="1959" spans="1:12" ht="43.5" x14ac:dyDescent="0.35">
      <c r="A1959" s="5" t="s">
        <v>359</v>
      </c>
      <c r="B1959" s="5" t="s">
        <v>360</v>
      </c>
      <c r="C1959" s="5" t="s">
        <v>368</v>
      </c>
      <c r="D1959" s="5" t="s">
        <v>31</v>
      </c>
      <c r="E1959" s="5" t="s">
        <v>362</v>
      </c>
      <c r="F1959" s="5" t="s">
        <v>363</v>
      </c>
      <c r="G1959" s="5" t="s">
        <v>364</v>
      </c>
      <c r="H1959" s="5" t="s">
        <v>365</v>
      </c>
      <c r="I1959" s="5" t="s">
        <v>63</v>
      </c>
      <c r="J1959" s="5">
        <v>16.500512000000001</v>
      </c>
      <c r="K1959" s="5">
        <v>-96.106790000000004</v>
      </c>
      <c r="L1959" s="5" t="str">
        <f>HYPERLINK("https://maps.google.com/?q=16.500512,-96.106790000000004", "🔗 Ver Mapa")</f>
        <v>🔗 Ver Mapa</v>
      </c>
    </row>
    <row r="1960" spans="1:12" ht="43.5" x14ac:dyDescent="0.35">
      <c r="A1960" s="6" t="s">
        <v>359</v>
      </c>
      <c r="B1960" s="6" t="s">
        <v>360</v>
      </c>
      <c r="C1960" s="6" t="s">
        <v>368</v>
      </c>
      <c r="D1960" s="6" t="s">
        <v>31</v>
      </c>
      <c r="E1960" s="6" t="s">
        <v>362</v>
      </c>
      <c r="F1960" s="6" t="s">
        <v>363</v>
      </c>
      <c r="G1960" s="6" t="s">
        <v>364</v>
      </c>
      <c r="H1960" s="6" t="s">
        <v>365</v>
      </c>
      <c r="I1960" s="6" t="s">
        <v>63</v>
      </c>
      <c r="J1960" s="6">
        <v>16.519807</v>
      </c>
      <c r="K1960" s="6">
        <v>-96.983885000000001</v>
      </c>
      <c r="L1960" s="6" t="str">
        <f>HYPERLINK("https://maps.google.com/?q=16.519807,-96.983885000000001", "🔗 Ver Mapa")</f>
        <v>🔗 Ver Mapa</v>
      </c>
    </row>
    <row r="1961" spans="1:12" ht="43.5" x14ac:dyDescent="0.35">
      <c r="A1961" s="5" t="s">
        <v>359</v>
      </c>
      <c r="B1961" s="5" t="s">
        <v>360</v>
      </c>
      <c r="C1961" s="5" t="s">
        <v>368</v>
      </c>
      <c r="D1961" s="5" t="s">
        <v>31</v>
      </c>
      <c r="E1961" s="5" t="s">
        <v>362</v>
      </c>
      <c r="F1961" s="5" t="s">
        <v>363</v>
      </c>
      <c r="G1961" s="5" t="s">
        <v>364</v>
      </c>
      <c r="H1961" s="5" t="s">
        <v>365</v>
      </c>
      <c r="I1961" s="5" t="s">
        <v>63</v>
      </c>
      <c r="J1961" s="5">
        <v>16.564243999999999</v>
      </c>
      <c r="K1961" s="5">
        <v>-96.731829000000005</v>
      </c>
      <c r="L1961" s="5" t="str">
        <f>HYPERLINK("https://maps.google.com/?q=16.564244,-96.731829000000005", "🔗 Ver Mapa")</f>
        <v>🔗 Ver Mapa</v>
      </c>
    </row>
    <row r="1962" spans="1:12" ht="43.5" x14ac:dyDescent="0.35">
      <c r="A1962" s="6" t="s">
        <v>359</v>
      </c>
      <c r="B1962" s="6" t="s">
        <v>360</v>
      </c>
      <c r="C1962" s="6" t="s">
        <v>368</v>
      </c>
      <c r="D1962" s="6" t="s">
        <v>31</v>
      </c>
      <c r="E1962" s="6" t="s">
        <v>362</v>
      </c>
      <c r="F1962" s="6" t="s">
        <v>363</v>
      </c>
      <c r="G1962" s="6" t="s">
        <v>364</v>
      </c>
      <c r="H1962" s="6" t="s">
        <v>365</v>
      </c>
      <c r="I1962" s="6" t="s">
        <v>63</v>
      </c>
      <c r="J1962" s="6">
        <v>16.791625</v>
      </c>
      <c r="K1962" s="6">
        <v>-96.674999</v>
      </c>
      <c r="L1962" s="6" t="str">
        <f>HYPERLINK("https://maps.google.com/?q=16.791625,-96.674999", "🔗 Ver Mapa")</f>
        <v>🔗 Ver Mapa</v>
      </c>
    </row>
    <row r="1963" spans="1:12" ht="43.5" x14ac:dyDescent="0.35">
      <c r="A1963" s="5" t="s">
        <v>359</v>
      </c>
      <c r="B1963" s="5" t="s">
        <v>360</v>
      </c>
      <c r="C1963" s="5" t="s">
        <v>368</v>
      </c>
      <c r="D1963" s="5" t="s">
        <v>31</v>
      </c>
      <c r="E1963" s="5" t="s">
        <v>362</v>
      </c>
      <c r="F1963" s="5" t="s">
        <v>363</v>
      </c>
      <c r="G1963" s="5" t="s">
        <v>364</v>
      </c>
      <c r="H1963" s="5" t="s">
        <v>365</v>
      </c>
      <c r="I1963" s="5" t="s">
        <v>63</v>
      </c>
      <c r="J1963" s="5">
        <v>16.866371000000001</v>
      </c>
      <c r="K1963" s="5">
        <v>-96.785623000000001</v>
      </c>
      <c r="L1963" s="5" t="str">
        <f>HYPERLINK("https://maps.google.com/?q=16.866371,-96.785623000000001", "🔗 Ver Mapa")</f>
        <v>🔗 Ver Mapa</v>
      </c>
    </row>
    <row r="1964" spans="1:12" ht="43.5" x14ac:dyDescent="0.35">
      <c r="A1964" s="6" t="s">
        <v>359</v>
      </c>
      <c r="B1964" s="6" t="s">
        <v>360</v>
      </c>
      <c r="C1964" s="6" t="s">
        <v>368</v>
      </c>
      <c r="D1964" s="6" t="s">
        <v>31</v>
      </c>
      <c r="E1964" s="6" t="s">
        <v>362</v>
      </c>
      <c r="F1964" s="6" t="s">
        <v>363</v>
      </c>
      <c r="G1964" s="6" t="s">
        <v>364</v>
      </c>
      <c r="H1964" s="6" t="s">
        <v>365</v>
      </c>
      <c r="I1964" s="6" t="s">
        <v>63</v>
      </c>
      <c r="J1964" s="6">
        <v>16.950706</v>
      </c>
      <c r="K1964" s="6">
        <v>-96.750504000000006</v>
      </c>
      <c r="L1964" s="6" t="str">
        <f>HYPERLINK("https://maps.google.com/?q=16.950706,-96.750504000000006", "🔗 Ver Mapa")</f>
        <v>🔗 Ver Mapa</v>
      </c>
    </row>
    <row r="1965" spans="1:12" ht="43.5" x14ac:dyDescent="0.35">
      <c r="A1965" s="5" t="s">
        <v>359</v>
      </c>
      <c r="B1965" s="5" t="s">
        <v>360</v>
      </c>
      <c r="C1965" s="5" t="s">
        <v>368</v>
      </c>
      <c r="D1965" s="5" t="s">
        <v>31</v>
      </c>
      <c r="E1965" s="5" t="s">
        <v>362</v>
      </c>
      <c r="F1965" s="5" t="s">
        <v>363</v>
      </c>
      <c r="G1965" s="5" t="s">
        <v>364</v>
      </c>
      <c r="H1965" s="5" t="s">
        <v>365</v>
      </c>
      <c r="I1965" s="5" t="s">
        <v>63</v>
      </c>
      <c r="J1965" s="5">
        <v>16.955580000000001</v>
      </c>
      <c r="K1965" s="5">
        <v>-96.479206000000005</v>
      </c>
      <c r="L1965" s="5" t="str">
        <f>HYPERLINK("https://maps.google.com/?q=16.95558,-96.479206000000005", "🔗 Ver Mapa")</f>
        <v>🔗 Ver Mapa</v>
      </c>
    </row>
    <row r="1966" spans="1:12" ht="43.5" x14ac:dyDescent="0.35">
      <c r="A1966" s="6" t="s">
        <v>359</v>
      </c>
      <c r="B1966" s="6" t="s">
        <v>360</v>
      </c>
      <c r="C1966" s="6" t="s">
        <v>368</v>
      </c>
      <c r="D1966" s="6" t="s">
        <v>31</v>
      </c>
      <c r="E1966" s="6" t="s">
        <v>362</v>
      </c>
      <c r="F1966" s="6" t="s">
        <v>363</v>
      </c>
      <c r="G1966" s="6" t="s">
        <v>364</v>
      </c>
      <c r="H1966" s="6" t="s">
        <v>365</v>
      </c>
      <c r="I1966" s="6" t="s">
        <v>63</v>
      </c>
      <c r="J1966" s="6">
        <v>17.026216000000002</v>
      </c>
      <c r="K1966" s="6">
        <v>-97.928115000000005</v>
      </c>
      <c r="L1966" s="6" t="str">
        <f>HYPERLINK("https://maps.google.com/?q=17.026216,-97.928115000000005", "🔗 Ver Mapa")</f>
        <v>🔗 Ver Mapa</v>
      </c>
    </row>
    <row r="1967" spans="1:12" ht="43.5" x14ac:dyDescent="0.35">
      <c r="A1967" s="5" t="s">
        <v>359</v>
      </c>
      <c r="B1967" s="5" t="s">
        <v>360</v>
      </c>
      <c r="C1967" s="5" t="s">
        <v>368</v>
      </c>
      <c r="D1967" s="5" t="s">
        <v>31</v>
      </c>
      <c r="E1967" s="5" t="s">
        <v>362</v>
      </c>
      <c r="F1967" s="5" t="s">
        <v>363</v>
      </c>
      <c r="G1967" s="5" t="s">
        <v>364</v>
      </c>
      <c r="H1967" s="5" t="s">
        <v>365</v>
      </c>
      <c r="I1967" s="5" t="s">
        <v>63</v>
      </c>
      <c r="J1967" s="5">
        <v>17.027131000000001</v>
      </c>
      <c r="K1967" s="5">
        <v>-96.077044000000001</v>
      </c>
      <c r="L1967" s="5" t="str">
        <f>HYPERLINK("https://maps.google.com/?q=17.027131,-96.077044000000001", "🔗 Ver Mapa")</f>
        <v>🔗 Ver Mapa</v>
      </c>
    </row>
    <row r="1968" spans="1:12" ht="43.5" x14ac:dyDescent="0.35">
      <c r="A1968" s="6" t="s">
        <v>359</v>
      </c>
      <c r="B1968" s="6" t="s">
        <v>360</v>
      </c>
      <c r="C1968" s="6" t="s">
        <v>368</v>
      </c>
      <c r="D1968" s="6" t="s">
        <v>31</v>
      </c>
      <c r="E1968" s="6" t="s">
        <v>362</v>
      </c>
      <c r="F1968" s="6" t="s">
        <v>363</v>
      </c>
      <c r="G1968" s="6" t="s">
        <v>364</v>
      </c>
      <c r="H1968" s="6" t="s">
        <v>365</v>
      </c>
      <c r="I1968" s="6" t="s">
        <v>63</v>
      </c>
      <c r="J1968" s="6">
        <v>17.063777999999999</v>
      </c>
      <c r="K1968" s="6">
        <v>-96.729971000000006</v>
      </c>
      <c r="L1968" s="6" t="str">
        <f>HYPERLINK("https://maps.google.com/?q=17.063778,-96.729971000000006", "🔗 Ver Mapa")</f>
        <v>🔗 Ver Mapa</v>
      </c>
    </row>
    <row r="1969" spans="1:12" ht="43.5" x14ac:dyDescent="0.35">
      <c r="A1969" s="5" t="s">
        <v>359</v>
      </c>
      <c r="B1969" s="5" t="s">
        <v>360</v>
      </c>
      <c r="C1969" s="5" t="s">
        <v>368</v>
      </c>
      <c r="D1969" s="5" t="s">
        <v>31</v>
      </c>
      <c r="E1969" s="5" t="s">
        <v>362</v>
      </c>
      <c r="F1969" s="5" t="s">
        <v>363</v>
      </c>
      <c r="G1969" s="5" t="s">
        <v>364</v>
      </c>
      <c r="H1969" s="5" t="s">
        <v>365</v>
      </c>
      <c r="I1969" s="5" t="s">
        <v>63</v>
      </c>
      <c r="J1969" s="5">
        <v>17.207464000000002</v>
      </c>
      <c r="K1969" s="5">
        <v>-96.801094000000006</v>
      </c>
      <c r="L1969" s="5" t="str">
        <f>HYPERLINK("https://maps.google.com/?q=17.207464,-96.801094000000006", "🔗 Ver Mapa")</f>
        <v>🔗 Ver Mapa</v>
      </c>
    </row>
    <row r="1970" spans="1:12" ht="43.5" x14ac:dyDescent="0.35">
      <c r="A1970" s="6" t="s">
        <v>359</v>
      </c>
      <c r="B1970" s="6" t="s">
        <v>360</v>
      </c>
      <c r="C1970" s="6" t="s">
        <v>368</v>
      </c>
      <c r="D1970" s="6" t="s">
        <v>31</v>
      </c>
      <c r="E1970" s="6" t="s">
        <v>362</v>
      </c>
      <c r="F1970" s="6" t="s">
        <v>363</v>
      </c>
      <c r="G1970" s="6" t="s">
        <v>364</v>
      </c>
      <c r="H1970" s="6" t="s">
        <v>365</v>
      </c>
      <c r="I1970" s="6" t="s">
        <v>63</v>
      </c>
      <c r="J1970" s="6">
        <v>17.267448999999999</v>
      </c>
      <c r="K1970" s="6">
        <v>-97.680485000000004</v>
      </c>
      <c r="L1970" s="6" t="str">
        <f>HYPERLINK("https://maps.google.com/?q=17.267449,-97.680485000000004", "🔗 Ver Mapa")</f>
        <v>🔗 Ver Mapa</v>
      </c>
    </row>
    <row r="1971" spans="1:12" ht="43.5" x14ac:dyDescent="0.35">
      <c r="A1971" s="5" t="s">
        <v>359</v>
      </c>
      <c r="B1971" s="5" t="s">
        <v>360</v>
      </c>
      <c r="C1971" s="5" t="s">
        <v>368</v>
      </c>
      <c r="D1971" s="5" t="s">
        <v>31</v>
      </c>
      <c r="E1971" s="5" t="s">
        <v>362</v>
      </c>
      <c r="F1971" s="5" t="s">
        <v>363</v>
      </c>
      <c r="G1971" s="5" t="s">
        <v>364</v>
      </c>
      <c r="H1971" s="5" t="s">
        <v>365</v>
      </c>
      <c r="I1971" s="5" t="s">
        <v>63</v>
      </c>
      <c r="J1971" s="5">
        <v>17.331247999999999</v>
      </c>
      <c r="K1971" s="5">
        <v>-96.487900999999994</v>
      </c>
      <c r="L1971" s="5" t="str">
        <f>HYPERLINK("https://maps.google.com/?q=17.331248,-96.487900999999994", "🔗 Ver Mapa")</f>
        <v>🔗 Ver Mapa</v>
      </c>
    </row>
    <row r="1972" spans="1:12" ht="43.5" x14ac:dyDescent="0.35">
      <c r="A1972" s="6" t="s">
        <v>359</v>
      </c>
      <c r="B1972" s="6" t="s">
        <v>360</v>
      </c>
      <c r="C1972" s="6" t="s">
        <v>368</v>
      </c>
      <c r="D1972" s="6" t="s">
        <v>31</v>
      </c>
      <c r="E1972" s="6" t="s">
        <v>362</v>
      </c>
      <c r="F1972" s="6" t="s">
        <v>363</v>
      </c>
      <c r="G1972" s="6" t="s">
        <v>364</v>
      </c>
      <c r="H1972" s="6" t="s">
        <v>365</v>
      </c>
      <c r="I1972" s="6" t="s">
        <v>63</v>
      </c>
      <c r="J1972" s="6">
        <v>17.335315999999999</v>
      </c>
      <c r="K1972" s="6">
        <v>-98.012051</v>
      </c>
      <c r="L1972" s="6" t="str">
        <f>HYPERLINK("https://maps.google.com/?q=17.335316,-98.012051", "🔗 Ver Mapa")</f>
        <v>🔗 Ver Mapa</v>
      </c>
    </row>
    <row r="1973" spans="1:12" ht="43.5" x14ac:dyDescent="0.35">
      <c r="A1973" s="5" t="s">
        <v>359</v>
      </c>
      <c r="B1973" s="5" t="s">
        <v>360</v>
      </c>
      <c r="C1973" s="5" t="s">
        <v>368</v>
      </c>
      <c r="D1973" s="5" t="s">
        <v>31</v>
      </c>
      <c r="E1973" s="5" t="s">
        <v>362</v>
      </c>
      <c r="F1973" s="5" t="s">
        <v>363</v>
      </c>
      <c r="G1973" s="5" t="s">
        <v>364</v>
      </c>
      <c r="H1973" s="5" t="s">
        <v>365</v>
      </c>
      <c r="I1973" s="5" t="s">
        <v>63</v>
      </c>
      <c r="J1973" s="5">
        <v>17.338730000000002</v>
      </c>
      <c r="K1973" s="5">
        <v>-96.152553999999995</v>
      </c>
      <c r="L1973" s="5" t="str">
        <f>HYPERLINK("https://maps.google.com/?q=17.33873,-96.152553999999995", "🔗 Ver Mapa")</f>
        <v>🔗 Ver Mapa</v>
      </c>
    </row>
    <row r="1974" spans="1:12" ht="43.5" x14ac:dyDescent="0.35">
      <c r="A1974" s="6" t="s">
        <v>359</v>
      </c>
      <c r="B1974" s="6" t="s">
        <v>360</v>
      </c>
      <c r="C1974" s="6" t="s">
        <v>368</v>
      </c>
      <c r="D1974" s="6" t="s">
        <v>31</v>
      </c>
      <c r="E1974" s="6" t="s">
        <v>362</v>
      </c>
      <c r="F1974" s="6" t="s">
        <v>363</v>
      </c>
      <c r="G1974" s="6" t="s">
        <v>364</v>
      </c>
      <c r="H1974" s="6" t="s">
        <v>365</v>
      </c>
      <c r="I1974" s="6" t="s">
        <v>63</v>
      </c>
      <c r="J1974" s="6">
        <v>17.361765999999999</v>
      </c>
      <c r="K1974" s="6">
        <v>-95.922253999999995</v>
      </c>
      <c r="L1974" s="6" t="str">
        <f>HYPERLINK("https://maps.google.com/?q=17.361766,-95.922253999999995", "🔗 Ver Mapa")</f>
        <v>🔗 Ver Mapa</v>
      </c>
    </row>
    <row r="1975" spans="1:12" ht="43.5" x14ac:dyDescent="0.35">
      <c r="A1975" s="5" t="s">
        <v>359</v>
      </c>
      <c r="B1975" s="5" t="s">
        <v>360</v>
      </c>
      <c r="C1975" s="5" t="s">
        <v>368</v>
      </c>
      <c r="D1975" s="5" t="s">
        <v>31</v>
      </c>
      <c r="E1975" s="5" t="s">
        <v>362</v>
      </c>
      <c r="F1975" s="5" t="s">
        <v>363</v>
      </c>
      <c r="G1975" s="5" t="s">
        <v>364</v>
      </c>
      <c r="H1975" s="5" t="s">
        <v>365</v>
      </c>
      <c r="I1975" s="5" t="s">
        <v>63</v>
      </c>
      <c r="J1975" s="5">
        <v>17.458341000000001</v>
      </c>
      <c r="K1975" s="5">
        <v>-97.225285</v>
      </c>
      <c r="L1975" s="5" t="str">
        <f>HYPERLINK("https://maps.google.com/?q=17.458341,-97.225285", "🔗 Ver Mapa")</f>
        <v>🔗 Ver Mapa</v>
      </c>
    </row>
    <row r="1976" spans="1:12" ht="43.5" x14ac:dyDescent="0.35">
      <c r="A1976" s="6" t="s">
        <v>359</v>
      </c>
      <c r="B1976" s="6" t="s">
        <v>360</v>
      </c>
      <c r="C1976" s="6" t="s">
        <v>368</v>
      </c>
      <c r="D1976" s="6" t="s">
        <v>31</v>
      </c>
      <c r="E1976" s="6" t="s">
        <v>362</v>
      </c>
      <c r="F1976" s="6" t="s">
        <v>363</v>
      </c>
      <c r="G1976" s="6" t="s">
        <v>364</v>
      </c>
      <c r="H1976" s="6" t="s">
        <v>365</v>
      </c>
      <c r="I1976" s="6" t="s">
        <v>63</v>
      </c>
      <c r="J1976" s="6">
        <v>17.501442000000001</v>
      </c>
      <c r="K1976" s="6">
        <v>-98.142583999999999</v>
      </c>
      <c r="L1976" s="6" t="str">
        <f>HYPERLINK("https://maps.google.com/?q=17.501442,-98.142583999999999", "🔗 Ver Mapa")</f>
        <v>🔗 Ver Mapa</v>
      </c>
    </row>
    <row r="1977" spans="1:12" ht="43.5" x14ac:dyDescent="0.35">
      <c r="A1977" s="5" t="s">
        <v>359</v>
      </c>
      <c r="B1977" s="5" t="s">
        <v>360</v>
      </c>
      <c r="C1977" s="5" t="s">
        <v>368</v>
      </c>
      <c r="D1977" s="5" t="s">
        <v>31</v>
      </c>
      <c r="E1977" s="5" t="s">
        <v>362</v>
      </c>
      <c r="F1977" s="5" t="s">
        <v>363</v>
      </c>
      <c r="G1977" s="5" t="s">
        <v>364</v>
      </c>
      <c r="H1977" s="5" t="s">
        <v>365</v>
      </c>
      <c r="I1977" s="5" t="s">
        <v>63</v>
      </c>
      <c r="J1977" s="5">
        <v>17.511838000000001</v>
      </c>
      <c r="K1977" s="5">
        <v>-97.488547999999994</v>
      </c>
      <c r="L1977" s="5" t="str">
        <f>HYPERLINK("https://maps.google.com/?q=17.511838,-97.488547999999994", "🔗 Ver Mapa")</f>
        <v>🔗 Ver Mapa</v>
      </c>
    </row>
    <row r="1978" spans="1:12" ht="43.5" x14ac:dyDescent="0.35">
      <c r="A1978" s="6" t="s">
        <v>359</v>
      </c>
      <c r="B1978" s="6" t="s">
        <v>360</v>
      </c>
      <c r="C1978" s="6" t="s">
        <v>368</v>
      </c>
      <c r="D1978" s="6" t="s">
        <v>31</v>
      </c>
      <c r="E1978" s="6" t="s">
        <v>362</v>
      </c>
      <c r="F1978" s="6" t="s">
        <v>363</v>
      </c>
      <c r="G1978" s="6" t="s">
        <v>364</v>
      </c>
      <c r="H1978" s="6" t="s">
        <v>365</v>
      </c>
      <c r="I1978" s="6" t="s">
        <v>63</v>
      </c>
      <c r="J1978" s="6">
        <v>17.724615</v>
      </c>
      <c r="K1978" s="6">
        <v>-97.323898</v>
      </c>
      <c r="L1978" s="6" t="str">
        <f>HYPERLINK("https://maps.google.com/?q=17.724615,-97.323898", "🔗 Ver Mapa")</f>
        <v>🔗 Ver Mapa</v>
      </c>
    </row>
    <row r="1979" spans="1:12" ht="43.5" x14ac:dyDescent="0.35">
      <c r="A1979" s="5" t="s">
        <v>359</v>
      </c>
      <c r="B1979" s="5" t="s">
        <v>360</v>
      </c>
      <c r="C1979" s="5" t="s">
        <v>368</v>
      </c>
      <c r="D1979" s="5" t="s">
        <v>31</v>
      </c>
      <c r="E1979" s="5" t="s">
        <v>362</v>
      </c>
      <c r="F1979" s="5" t="s">
        <v>363</v>
      </c>
      <c r="G1979" s="5" t="s">
        <v>364</v>
      </c>
      <c r="H1979" s="5" t="s">
        <v>365</v>
      </c>
      <c r="I1979" s="5" t="s">
        <v>63</v>
      </c>
      <c r="J1979" s="5">
        <v>17.801687000000001</v>
      </c>
      <c r="K1979" s="5">
        <v>-96.959688</v>
      </c>
      <c r="L1979" s="5" t="str">
        <f>HYPERLINK("https://maps.google.com/?q=17.801687,-96.959688", "🔗 Ver Mapa")</f>
        <v>🔗 Ver Mapa</v>
      </c>
    </row>
    <row r="1980" spans="1:12" ht="43.5" x14ac:dyDescent="0.35">
      <c r="A1980" s="6" t="s">
        <v>359</v>
      </c>
      <c r="B1980" s="6" t="s">
        <v>360</v>
      </c>
      <c r="C1980" s="6" t="s">
        <v>368</v>
      </c>
      <c r="D1980" s="6" t="s">
        <v>31</v>
      </c>
      <c r="E1980" s="6" t="s">
        <v>362</v>
      </c>
      <c r="F1980" s="6" t="s">
        <v>363</v>
      </c>
      <c r="G1980" s="6" t="s">
        <v>364</v>
      </c>
      <c r="H1980" s="6" t="s">
        <v>365</v>
      </c>
      <c r="I1980" s="6" t="s">
        <v>63</v>
      </c>
      <c r="J1980" s="6">
        <v>17.806621</v>
      </c>
      <c r="K1980" s="6">
        <v>-97.776161999999999</v>
      </c>
      <c r="L1980" s="6" t="str">
        <f>HYPERLINK("https://maps.google.com/?q=17.806621,-97.776161999999999", "🔗 Ver Mapa")</f>
        <v>🔗 Ver Mapa</v>
      </c>
    </row>
    <row r="1981" spans="1:12" ht="43.5" x14ac:dyDescent="0.35">
      <c r="A1981" s="5" t="s">
        <v>359</v>
      </c>
      <c r="B1981" s="5" t="s">
        <v>360</v>
      </c>
      <c r="C1981" s="5" t="s">
        <v>368</v>
      </c>
      <c r="D1981" s="5" t="s">
        <v>31</v>
      </c>
      <c r="E1981" s="5" t="s">
        <v>362</v>
      </c>
      <c r="F1981" s="5" t="s">
        <v>363</v>
      </c>
      <c r="G1981" s="5" t="s">
        <v>364</v>
      </c>
      <c r="H1981" s="5" t="s">
        <v>365</v>
      </c>
      <c r="I1981" s="5" t="s">
        <v>63</v>
      </c>
      <c r="J1981" s="5">
        <v>18.081168999999999</v>
      </c>
      <c r="K1981" s="5">
        <v>-96.118475000000004</v>
      </c>
      <c r="L1981" s="5" t="str">
        <f>HYPERLINK("https://maps.google.com/?q=18.081169,-96.118475000000004", "🔗 Ver Mapa")</f>
        <v>🔗 Ver Mapa</v>
      </c>
    </row>
    <row r="1982" spans="1:12" ht="43.5" x14ac:dyDescent="0.35">
      <c r="A1982" s="6" t="s">
        <v>359</v>
      </c>
      <c r="B1982" s="6" t="s">
        <v>360</v>
      </c>
      <c r="C1982" s="6" t="s">
        <v>368</v>
      </c>
      <c r="D1982" s="6" t="s">
        <v>31</v>
      </c>
      <c r="E1982" s="6" t="s">
        <v>362</v>
      </c>
      <c r="F1982" s="6" t="s">
        <v>363</v>
      </c>
      <c r="G1982" s="6" t="s">
        <v>364</v>
      </c>
      <c r="H1982" s="6" t="s">
        <v>365</v>
      </c>
      <c r="I1982" s="6" t="s">
        <v>63</v>
      </c>
      <c r="J1982" s="6">
        <v>18.13222</v>
      </c>
      <c r="K1982" s="6">
        <v>-97.070751000000001</v>
      </c>
      <c r="L1982" s="6" t="str">
        <f>HYPERLINK("https://maps.google.com/?q=18.13222,-97.070751000000001", "🔗 Ver Mapa")</f>
        <v>🔗 Ver Mapa</v>
      </c>
    </row>
    <row r="1983" spans="1:12" ht="43.5" x14ac:dyDescent="0.35">
      <c r="A1983" s="5" t="s">
        <v>359</v>
      </c>
      <c r="B1983" s="5" t="s">
        <v>360</v>
      </c>
      <c r="C1983" s="5" t="s">
        <v>369</v>
      </c>
      <c r="D1983" s="5" t="s">
        <v>31</v>
      </c>
      <c r="E1983" s="5" t="s">
        <v>362</v>
      </c>
      <c r="F1983" s="5" t="s">
        <v>363</v>
      </c>
      <c r="G1983" s="5" t="s">
        <v>364</v>
      </c>
      <c r="H1983" s="5" t="s">
        <v>365</v>
      </c>
      <c r="I1983" s="5" t="s">
        <v>63</v>
      </c>
      <c r="J1983" s="5">
        <v>15.746143999999999</v>
      </c>
      <c r="K1983" s="5">
        <v>-96.465182999999996</v>
      </c>
      <c r="L1983" s="5" t="str">
        <f>HYPERLINK("https://maps.google.com/?q=15.746144,-96.465182999999996", "🔗 Ver Mapa")</f>
        <v>🔗 Ver Mapa</v>
      </c>
    </row>
    <row r="1984" spans="1:12" ht="43.5" x14ac:dyDescent="0.35">
      <c r="A1984" s="6" t="s">
        <v>359</v>
      </c>
      <c r="B1984" s="6" t="s">
        <v>360</v>
      </c>
      <c r="C1984" s="6" t="s">
        <v>369</v>
      </c>
      <c r="D1984" s="6" t="s">
        <v>31</v>
      </c>
      <c r="E1984" s="6" t="s">
        <v>362</v>
      </c>
      <c r="F1984" s="6" t="s">
        <v>363</v>
      </c>
      <c r="G1984" s="6" t="s">
        <v>364</v>
      </c>
      <c r="H1984" s="6" t="s">
        <v>365</v>
      </c>
      <c r="I1984" s="6" t="s">
        <v>63</v>
      </c>
      <c r="J1984" s="6">
        <v>16.237075999999998</v>
      </c>
      <c r="K1984" s="6">
        <v>-97.292351999999994</v>
      </c>
      <c r="L1984" s="6" t="str">
        <f>HYPERLINK("https://maps.google.com/?q=16.237076,-97.292351999999994", "🔗 Ver Mapa")</f>
        <v>🔗 Ver Mapa</v>
      </c>
    </row>
    <row r="1985" spans="1:12" ht="43.5" x14ac:dyDescent="0.35">
      <c r="A1985" s="5" t="s">
        <v>359</v>
      </c>
      <c r="B1985" s="5" t="s">
        <v>360</v>
      </c>
      <c r="C1985" s="5" t="s">
        <v>369</v>
      </c>
      <c r="D1985" s="5" t="s">
        <v>31</v>
      </c>
      <c r="E1985" s="5" t="s">
        <v>362</v>
      </c>
      <c r="F1985" s="5" t="s">
        <v>363</v>
      </c>
      <c r="G1985" s="5" t="s">
        <v>364</v>
      </c>
      <c r="H1985" s="5" t="s">
        <v>365</v>
      </c>
      <c r="I1985" s="5" t="s">
        <v>63</v>
      </c>
      <c r="J1985" s="5">
        <v>16.279057999999999</v>
      </c>
      <c r="K1985" s="5">
        <v>-97.820240999999996</v>
      </c>
      <c r="L1985" s="5" t="str">
        <f>HYPERLINK("https://maps.google.com/?q=16.279058,-97.820240999999996", "🔗 Ver Mapa")</f>
        <v>🔗 Ver Mapa</v>
      </c>
    </row>
    <row r="1986" spans="1:12" ht="43.5" x14ac:dyDescent="0.35">
      <c r="A1986" s="6" t="s">
        <v>359</v>
      </c>
      <c r="B1986" s="6" t="s">
        <v>360</v>
      </c>
      <c r="C1986" s="6" t="s">
        <v>369</v>
      </c>
      <c r="D1986" s="6" t="s">
        <v>31</v>
      </c>
      <c r="E1986" s="6" t="s">
        <v>362</v>
      </c>
      <c r="F1986" s="6" t="s">
        <v>363</v>
      </c>
      <c r="G1986" s="6" t="s">
        <v>364</v>
      </c>
      <c r="H1986" s="6" t="s">
        <v>365</v>
      </c>
      <c r="I1986" s="6" t="s">
        <v>63</v>
      </c>
      <c r="J1986" s="6">
        <v>16.328751</v>
      </c>
      <c r="K1986" s="6">
        <v>-96.596529000000004</v>
      </c>
      <c r="L1986" s="6" t="str">
        <f>HYPERLINK("https://maps.google.com/?q=16.328751,-96.596529000000004", "🔗 Ver Mapa")</f>
        <v>🔗 Ver Mapa</v>
      </c>
    </row>
    <row r="1987" spans="1:12" ht="43.5" x14ac:dyDescent="0.35">
      <c r="A1987" s="5" t="s">
        <v>359</v>
      </c>
      <c r="B1987" s="5" t="s">
        <v>360</v>
      </c>
      <c r="C1987" s="5" t="s">
        <v>369</v>
      </c>
      <c r="D1987" s="5" t="s">
        <v>31</v>
      </c>
      <c r="E1987" s="5" t="s">
        <v>362</v>
      </c>
      <c r="F1987" s="5" t="s">
        <v>363</v>
      </c>
      <c r="G1987" s="5" t="s">
        <v>364</v>
      </c>
      <c r="H1987" s="5" t="s">
        <v>365</v>
      </c>
      <c r="I1987" s="5" t="s">
        <v>63</v>
      </c>
      <c r="J1987" s="5">
        <v>16.332014000000001</v>
      </c>
      <c r="K1987" s="5">
        <v>-95.231966</v>
      </c>
      <c r="L1987" s="5" t="str">
        <f>HYPERLINK("https://maps.google.com/?q=16.332014,-95.231966", "🔗 Ver Mapa")</f>
        <v>🔗 Ver Mapa</v>
      </c>
    </row>
    <row r="1988" spans="1:12" ht="43.5" x14ac:dyDescent="0.35">
      <c r="A1988" s="6" t="s">
        <v>359</v>
      </c>
      <c r="B1988" s="6" t="s">
        <v>360</v>
      </c>
      <c r="C1988" s="6" t="s">
        <v>369</v>
      </c>
      <c r="D1988" s="6" t="s">
        <v>31</v>
      </c>
      <c r="E1988" s="6" t="s">
        <v>362</v>
      </c>
      <c r="F1988" s="6" t="s">
        <v>363</v>
      </c>
      <c r="G1988" s="6" t="s">
        <v>364</v>
      </c>
      <c r="H1988" s="6" t="s">
        <v>365</v>
      </c>
      <c r="I1988" s="6" t="s">
        <v>63</v>
      </c>
      <c r="J1988" s="6">
        <v>16.433347000000001</v>
      </c>
      <c r="K1988" s="6">
        <v>-95.021687</v>
      </c>
      <c r="L1988" s="6" t="str">
        <f>HYPERLINK("https://maps.google.com/?q=16.433347,-95.021687", "🔗 Ver Mapa")</f>
        <v>🔗 Ver Mapa</v>
      </c>
    </row>
    <row r="1989" spans="1:12" ht="43.5" x14ac:dyDescent="0.35">
      <c r="A1989" s="5" t="s">
        <v>359</v>
      </c>
      <c r="B1989" s="5" t="s">
        <v>360</v>
      </c>
      <c r="C1989" s="5" t="s">
        <v>369</v>
      </c>
      <c r="D1989" s="5" t="s">
        <v>31</v>
      </c>
      <c r="E1989" s="5" t="s">
        <v>362</v>
      </c>
      <c r="F1989" s="5" t="s">
        <v>363</v>
      </c>
      <c r="G1989" s="5" t="s">
        <v>364</v>
      </c>
      <c r="H1989" s="5" t="s">
        <v>365</v>
      </c>
      <c r="I1989" s="5" t="s">
        <v>63</v>
      </c>
      <c r="J1989" s="5">
        <v>16.500512000000001</v>
      </c>
      <c r="K1989" s="5">
        <v>-96.106790000000004</v>
      </c>
      <c r="L1989" s="5" t="str">
        <f>HYPERLINK("https://maps.google.com/?q=16.500512,-96.106790000000004", "🔗 Ver Mapa")</f>
        <v>🔗 Ver Mapa</v>
      </c>
    </row>
    <row r="1990" spans="1:12" ht="43.5" x14ac:dyDescent="0.35">
      <c r="A1990" s="6" t="s">
        <v>359</v>
      </c>
      <c r="B1990" s="6" t="s">
        <v>360</v>
      </c>
      <c r="C1990" s="6" t="s">
        <v>369</v>
      </c>
      <c r="D1990" s="6" t="s">
        <v>31</v>
      </c>
      <c r="E1990" s="6" t="s">
        <v>362</v>
      </c>
      <c r="F1990" s="6" t="s">
        <v>363</v>
      </c>
      <c r="G1990" s="6" t="s">
        <v>364</v>
      </c>
      <c r="H1990" s="6" t="s">
        <v>365</v>
      </c>
      <c r="I1990" s="6" t="s">
        <v>63</v>
      </c>
      <c r="J1990" s="6">
        <v>16.519807</v>
      </c>
      <c r="K1990" s="6">
        <v>-96.983885000000001</v>
      </c>
      <c r="L1990" s="6" t="str">
        <f>HYPERLINK("https://maps.google.com/?q=16.519807,-96.983885000000001", "🔗 Ver Mapa")</f>
        <v>🔗 Ver Mapa</v>
      </c>
    </row>
    <row r="1991" spans="1:12" ht="43.5" x14ac:dyDescent="0.35">
      <c r="A1991" s="5" t="s">
        <v>359</v>
      </c>
      <c r="B1991" s="5" t="s">
        <v>360</v>
      </c>
      <c r="C1991" s="5" t="s">
        <v>369</v>
      </c>
      <c r="D1991" s="5" t="s">
        <v>31</v>
      </c>
      <c r="E1991" s="5" t="s">
        <v>362</v>
      </c>
      <c r="F1991" s="5" t="s">
        <v>363</v>
      </c>
      <c r="G1991" s="5" t="s">
        <v>364</v>
      </c>
      <c r="H1991" s="5" t="s">
        <v>365</v>
      </c>
      <c r="I1991" s="5" t="s">
        <v>63</v>
      </c>
      <c r="J1991" s="5">
        <v>16.564243999999999</v>
      </c>
      <c r="K1991" s="5">
        <v>-96.731829000000005</v>
      </c>
      <c r="L1991" s="5" t="str">
        <f>HYPERLINK("https://maps.google.com/?q=16.564244,-96.731829000000005", "🔗 Ver Mapa")</f>
        <v>🔗 Ver Mapa</v>
      </c>
    </row>
    <row r="1992" spans="1:12" ht="43.5" x14ac:dyDescent="0.35">
      <c r="A1992" s="6" t="s">
        <v>359</v>
      </c>
      <c r="B1992" s="6" t="s">
        <v>360</v>
      </c>
      <c r="C1992" s="6" t="s">
        <v>369</v>
      </c>
      <c r="D1992" s="6" t="s">
        <v>31</v>
      </c>
      <c r="E1992" s="6" t="s">
        <v>362</v>
      </c>
      <c r="F1992" s="6" t="s">
        <v>363</v>
      </c>
      <c r="G1992" s="6" t="s">
        <v>364</v>
      </c>
      <c r="H1992" s="6" t="s">
        <v>365</v>
      </c>
      <c r="I1992" s="6" t="s">
        <v>63</v>
      </c>
      <c r="J1992" s="6">
        <v>16.791625</v>
      </c>
      <c r="K1992" s="6">
        <v>-96.674999</v>
      </c>
      <c r="L1992" s="6" t="str">
        <f>HYPERLINK("https://maps.google.com/?q=16.791625,-96.674999", "🔗 Ver Mapa")</f>
        <v>🔗 Ver Mapa</v>
      </c>
    </row>
    <row r="1993" spans="1:12" ht="43.5" x14ac:dyDescent="0.35">
      <c r="A1993" s="5" t="s">
        <v>359</v>
      </c>
      <c r="B1993" s="5" t="s">
        <v>360</v>
      </c>
      <c r="C1993" s="5" t="s">
        <v>369</v>
      </c>
      <c r="D1993" s="5" t="s">
        <v>31</v>
      </c>
      <c r="E1993" s="5" t="s">
        <v>362</v>
      </c>
      <c r="F1993" s="5" t="s">
        <v>363</v>
      </c>
      <c r="G1993" s="5" t="s">
        <v>364</v>
      </c>
      <c r="H1993" s="5" t="s">
        <v>365</v>
      </c>
      <c r="I1993" s="5" t="s">
        <v>63</v>
      </c>
      <c r="J1993" s="5">
        <v>16.866371000000001</v>
      </c>
      <c r="K1993" s="5">
        <v>-96.785623000000001</v>
      </c>
      <c r="L1993" s="5" t="str">
        <f>HYPERLINK("https://maps.google.com/?q=16.866371,-96.785623000000001", "🔗 Ver Mapa")</f>
        <v>🔗 Ver Mapa</v>
      </c>
    </row>
    <row r="1994" spans="1:12" ht="43.5" x14ac:dyDescent="0.35">
      <c r="A1994" s="6" t="s">
        <v>359</v>
      </c>
      <c r="B1994" s="6" t="s">
        <v>360</v>
      </c>
      <c r="C1994" s="6" t="s">
        <v>369</v>
      </c>
      <c r="D1994" s="6" t="s">
        <v>31</v>
      </c>
      <c r="E1994" s="6" t="s">
        <v>362</v>
      </c>
      <c r="F1994" s="6" t="s">
        <v>363</v>
      </c>
      <c r="G1994" s="6" t="s">
        <v>364</v>
      </c>
      <c r="H1994" s="6" t="s">
        <v>365</v>
      </c>
      <c r="I1994" s="6" t="s">
        <v>63</v>
      </c>
      <c r="J1994" s="6">
        <v>16.950706</v>
      </c>
      <c r="K1994" s="6">
        <v>-96.750504000000006</v>
      </c>
      <c r="L1994" s="6" t="str">
        <f>HYPERLINK("https://maps.google.com/?q=16.950706,-96.750504000000006", "🔗 Ver Mapa")</f>
        <v>🔗 Ver Mapa</v>
      </c>
    </row>
    <row r="1995" spans="1:12" ht="43.5" x14ac:dyDescent="0.35">
      <c r="A1995" s="5" t="s">
        <v>359</v>
      </c>
      <c r="B1995" s="5" t="s">
        <v>360</v>
      </c>
      <c r="C1995" s="5" t="s">
        <v>369</v>
      </c>
      <c r="D1995" s="5" t="s">
        <v>31</v>
      </c>
      <c r="E1995" s="5" t="s">
        <v>362</v>
      </c>
      <c r="F1995" s="5" t="s">
        <v>363</v>
      </c>
      <c r="G1995" s="5" t="s">
        <v>364</v>
      </c>
      <c r="H1995" s="5" t="s">
        <v>365</v>
      </c>
      <c r="I1995" s="5" t="s">
        <v>63</v>
      </c>
      <c r="J1995" s="5">
        <v>16.955580000000001</v>
      </c>
      <c r="K1995" s="5">
        <v>-96.479206000000005</v>
      </c>
      <c r="L1995" s="5" t="str">
        <f>HYPERLINK("https://maps.google.com/?q=16.95558,-96.479206000000005", "🔗 Ver Mapa")</f>
        <v>🔗 Ver Mapa</v>
      </c>
    </row>
    <row r="1996" spans="1:12" ht="43.5" x14ac:dyDescent="0.35">
      <c r="A1996" s="6" t="s">
        <v>359</v>
      </c>
      <c r="B1996" s="6" t="s">
        <v>360</v>
      </c>
      <c r="C1996" s="6" t="s">
        <v>369</v>
      </c>
      <c r="D1996" s="6" t="s">
        <v>31</v>
      </c>
      <c r="E1996" s="6" t="s">
        <v>362</v>
      </c>
      <c r="F1996" s="6" t="s">
        <v>363</v>
      </c>
      <c r="G1996" s="6" t="s">
        <v>364</v>
      </c>
      <c r="H1996" s="6" t="s">
        <v>365</v>
      </c>
      <c r="I1996" s="6" t="s">
        <v>63</v>
      </c>
      <c r="J1996" s="6">
        <v>17.026216000000002</v>
      </c>
      <c r="K1996" s="6">
        <v>-97.928115000000005</v>
      </c>
      <c r="L1996" s="6" t="str">
        <f>HYPERLINK("https://maps.google.com/?q=17.026216,-97.928115000000005", "🔗 Ver Mapa")</f>
        <v>🔗 Ver Mapa</v>
      </c>
    </row>
    <row r="1997" spans="1:12" ht="43.5" x14ac:dyDescent="0.35">
      <c r="A1997" s="5" t="s">
        <v>359</v>
      </c>
      <c r="B1997" s="5" t="s">
        <v>360</v>
      </c>
      <c r="C1997" s="5" t="s">
        <v>369</v>
      </c>
      <c r="D1997" s="5" t="s">
        <v>31</v>
      </c>
      <c r="E1997" s="5" t="s">
        <v>362</v>
      </c>
      <c r="F1997" s="5" t="s">
        <v>363</v>
      </c>
      <c r="G1997" s="5" t="s">
        <v>364</v>
      </c>
      <c r="H1997" s="5" t="s">
        <v>365</v>
      </c>
      <c r="I1997" s="5" t="s">
        <v>63</v>
      </c>
      <c r="J1997" s="5">
        <v>17.027131000000001</v>
      </c>
      <c r="K1997" s="5">
        <v>-96.077044000000001</v>
      </c>
      <c r="L1997" s="5" t="str">
        <f>HYPERLINK("https://maps.google.com/?q=17.027131,-96.077044000000001", "🔗 Ver Mapa")</f>
        <v>🔗 Ver Mapa</v>
      </c>
    </row>
    <row r="1998" spans="1:12" ht="43.5" x14ac:dyDescent="0.35">
      <c r="A1998" s="6" t="s">
        <v>359</v>
      </c>
      <c r="B1998" s="6" t="s">
        <v>360</v>
      </c>
      <c r="C1998" s="6" t="s">
        <v>369</v>
      </c>
      <c r="D1998" s="6" t="s">
        <v>31</v>
      </c>
      <c r="E1998" s="6" t="s">
        <v>362</v>
      </c>
      <c r="F1998" s="6" t="s">
        <v>363</v>
      </c>
      <c r="G1998" s="6" t="s">
        <v>364</v>
      </c>
      <c r="H1998" s="6" t="s">
        <v>365</v>
      </c>
      <c r="I1998" s="6" t="s">
        <v>63</v>
      </c>
      <c r="J1998" s="6">
        <v>17.063777999999999</v>
      </c>
      <c r="K1998" s="6">
        <v>-96.729971000000006</v>
      </c>
      <c r="L1998" s="6" t="str">
        <f>HYPERLINK("https://maps.google.com/?q=17.063778,-96.729971000000006", "🔗 Ver Mapa")</f>
        <v>🔗 Ver Mapa</v>
      </c>
    </row>
    <row r="1999" spans="1:12" ht="43.5" x14ac:dyDescent="0.35">
      <c r="A1999" s="5" t="s">
        <v>359</v>
      </c>
      <c r="B1999" s="5" t="s">
        <v>360</v>
      </c>
      <c r="C1999" s="5" t="s">
        <v>369</v>
      </c>
      <c r="D1999" s="5" t="s">
        <v>31</v>
      </c>
      <c r="E1999" s="5" t="s">
        <v>362</v>
      </c>
      <c r="F1999" s="5" t="s">
        <v>363</v>
      </c>
      <c r="G1999" s="5" t="s">
        <v>364</v>
      </c>
      <c r="H1999" s="5" t="s">
        <v>365</v>
      </c>
      <c r="I1999" s="5" t="s">
        <v>63</v>
      </c>
      <c r="J1999" s="5">
        <v>17.207464000000002</v>
      </c>
      <c r="K1999" s="5">
        <v>-96.801094000000006</v>
      </c>
      <c r="L1999" s="5" t="str">
        <f>HYPERLINK("https://maps.google.com/?q=17.207464,-96.801094000000006", "🔗 Ver Mapa")</f>
        <v>🔗 Ver Mapa</v>
      </c>
    </row>
    <row r="2000" spans="1:12" ht="43.5" x14ac:dyDescent="0.35">
      <c r="A2000" s="6" t="s">
        <v>359</v>
      </c>
      <c r="B2000" s="6" t="s">
        <v>360</v>
      </c>
      <c r="C2000" s="6" t="s">
        <v>369</v>
      </c>
      <c r="D2000" s="6" t="s">
        <v>31</v>
      </c>
      <c r="E2000" s="6" t="s">
        <v>362</v>
      </c>
      <c r="F2000" s="6" t="s">
        <v>363</v>
      </c>
      <c r="G2000" s="6" t="s">
        <v>364</v>
      </c>
      <c r="H2000" s="6" t="s">
        <v>365</v>
      </c>
      <c r="I2000" s="6" t="s">
        <v>63</v>
      </c>
      <c r="J2000" s="6">
        <v>17.267448999999999</v>
      </c>
      <c r="K2000" s="6">
        <v>-97.680485000000004</v>
      </c>
      <c r="L2000" s="6" t="str">
        <f>HYPERLINK("https://maps.google.com/?q=17.267449,-97.680485000000004", "🔗 Ver Mapa")</f>
        <v>🔗 Ver Mapa</v>
      </c>
    </row>
    <row r="2001" spans="1:12" ht="43.5" x14ac:dyDescent="0.35">
      <c r="A2001" s="5" t="s">
        <v>359</v>
      </c>
      <c r="B2001" s="5" t="s">
        <v>360</v>
      </c>
      <c r="C2001" s="5" t="s">
        <v>369</v>
      </c>
      <c r="D2001" s="5" t="s">
        <v>31</v>
      </c>
      <c r="E2001" s="5" t="s">
        <v>362</v>
      </c>
      <c r="F2001" s="5" t="s">
        <v>363</v>
      </c>
      <c r="G2001" s="5" t="s">
        <v>364</v>
      </c>
      <c r="H2001" s="5" t="s">
        <v>365</v>
      </c>
      <c r="I2001" s="5" t="s">
        <v>63</v>
      </c>
      <c r="J2001" s="5">
        <v>17.331247999999999</v>
      </c>
      <c r="K2001" s="5">
        <v>-96.487900999999994</v>
      </c>
      <c r="L2001" s="5" t="str">
        <f>HYPERLINK("https://maps.google.com/?q=17.331248,-96.487900999999994", "🔗 Ver Mapa")</f>
        <v>🔗 Ver Mapa</v>
      </c>
    </row>
    <row r="2002" spans="1:12" ht="43.5" x14ac:dyDescent="0.35">
      <c r="A2002" s="6" t="s">
        <v>359</v>
      </c>
      <c r="B2002" s="6" t="s">
        <v>360</v>
      </c>
      <c r="C2002" s="6" t="s">
        <v>369</v>
      </c>
      <c r="D2002" s="6" t="s">
        <v>31</v>
      </c>
      <c r="E2002" s="6" t="s">
        <v>362</v>
      </c>
      <c r="F2002" s="6" t="s">
        <v>363</v>
      </c>
      <c r="G2002" s="6" t="s">
        <v>364</v>
      </c>
      <c r="H2002" s="6" t="s">
        <v>365</v>
      </c>
      <c r="I2002" s="6" t="s">
        <v>63</v>
      </c>
      <c r="J2002" s="6">
        <v>17.335315999999999</v>
      </c>
      <c r="K2002" s="6">
        <v>-98.012051</v>
      </c>
      <c r="L2002" s="6" t="str">
        <f>HYPERLINK("https://maps.google.com/?q=17.335316,-98.012051", "🔗 Ver Mapa")</f>
        <v>🔗 Ver Mapa</v>
      </c>
    </row>
    <row r="2003" spans="1:12" ht="43.5" x14ac:dyDescent="0.35">
      <c r="A2003" s="5" t="s">
        <v>359</v>
      </c>
      <c r="B2003" s="5" t="s">
        <v>360</v>
      </c>
      <c r="C2003" s="5" t="s">
        <v>369</v>
      </c>
      <c r="D2003" s="5" t="s">
        <v>31</v>
      </c>
      <c r="E2003" s="5" t="s">
        <v>362</v>
      </c>
      <c r="F2003" s="5" t="s">
        <v>363</v>
      </c>
      <c r="G2003" s="5" t="s">
        <v>364</v>
      </c>
      <c r="H2003" s="5" t="s">
        <v>365</v>
      </c>
      <c r="I2003" s="5" t="s">
        <v>63</v>
      </c>
      <c r="J2003" s="5">
        <v>17.338730000000002</v>
      </c>
      <c r="K2003" s="5">
        <v>-96.152553999999995</v>
      </c>
      <c r="L2003" s="5" t="str">
        <f>HYPERLINK("https://maps.google.com/?q=17.33873,-96.152553999999995", "🔗 Ver Mapa")</f>
        <v>🔗 Ver Mapa</v>
      </c>
    </row>
    <row r="2004" spans="1:12" ht="43.5" x14ac:dyDescent="0.35">
      <c r="A2004" s="6" t="s">
        <v>359</v>
      </c>
      <c r="B2004" s="6" t="s">
        <v>360</v>
      </c>
      <c r="C2004" s="6" t="s">
        <v>369</v>
      </c>
      <c r="D2004" s="6" t="s">
        <v>31</v>
      </c>
      <c r="E2004" s="6" t="s">
        <v>362</v>
      </c>
      <c r="F2004" s="6" t="s">
        <v>363</v>
      </c>
      <c r="G2004" s="6" t="s">
        <v>364</v>
      </c>
      <c r="H2004" s="6" t="s">
        <v>365</v>
      </c>
      <c r="I2004" s="6" t="s">
        <v>63</v>
      </c>
      <c r="J2004" s="6">
        <v>17.361765999999999</v>
      </c>
      <c r="K2004" s="6">
        <v>-95.922253999999995</v>
      </c>
      <c r="L2004" s="6" t="str">
        <f>HYPERLINK("https://maps.google.com/?q=17.361766,-95.922253999999995", "🔗 Ver Mapa")</f>
        <v>🔗 Ver Mapa</v>
      </c>
    </row>
    <row r="2005" spans="1:12" ht="43.5" x14ac:dyDescent="0.35">
      <c r="A2005" s="5" t="s">
        <v>359</v>
      </c>
      <c r="B2005" s="5" t="s">
        <v>360</v>
      </c>
      <c r="C2005" s="5" t="s">
        <v>369</v>
      </c>
      <c r="D2005" s="5" t="s">
        <v>31</v>
      </c>
      <c r="E2005" s="5" t="s">
        <v>362</v>
      </c>
      <c r="F2005" s="5" t="s">
        <v>363</v>
      </c>
      <c r="G2005" s="5" t="s">
        <v>364</v>
      </c>
      <c r="H2005" s="5" t="s">
        <v>365</v>
      </c>
      <c r="I2005" s="5" t="s">
        <v>63</v>
      </c>
      <c r="J2005" s="5">
        <v>17.458341000000001</v>
      </c>
      <c r="K2005" s="5">
        <v>-97.225285</v>
      </c>
      <c r="L2005" s="5" t="str">
        <f>HYPERLINK("https://maps.google.com/?q=17.458341,-97.225285", "🔗 Ver Mapa")</f>
        <v>🔗 Ver Mapa</v>
      </c>
    </row>
    <row r="2006" spans="1:12" ht="43.5" x14ac:dyDescent="0.35">
      <c r="A2006" s="6" t="s">
        <v>359</v>
      </c>
      <c r="B2006" s="6" t="s">
        <v>360</v>
      </c>
      <c r="C2006" s="6" t="s">
        <v>369</v>
      </c>
      <c r="D2006" s="6" t="s">
        <v>31</v>
      </c>
      <c r="E2006" s="6" t="s">
        <v>362</v>
      </c>
      <c r="F2006" s="6" t="s">
        <v>363</v>
      </c>
      <c r="G2006" s="6" t="s">
        <v>364</v>
      </c>
      <c r="H2006" s="6" t="s">
        <v>365</v>
      </c>
      <c r="I2006" s="6" t="s">
        <v>63</v>
      </c>
      <c r="J2006" s="6">
        <v>17.501442000000001</v>
      </c>
      <c r="K2006" s="6">
        <v>-98.142583999999999</v>
      </c>
      <c r="L2006" s="6" t="str">
        <f>HYPERLINK("https://maps.google.com/?q=17.501442,-98.142583999999999", "🔗 Ver Mapa")</f>
        <v>🔗 Ver Mapa</v>
      </c>
    </row>
    <row r="2007" spans="1:12" ht="43.5" x14ac:dyDescent="0.35">
      <c r="A2007" s="5" t="s">
        <v>359</v>
      </c>
      <c r="B2007" s="5" t="s">
        <v>360</v>
      </c>
      <c r="C2007" s="5" t="s">
        <v>369</v>
      </c>
      <c r="D2007" s="5" t="s">
        <v>31</v>
      </c>
      <c r="E2007" s="5" t="s">
        <v>362</v>
      </c>
      <c r="F2007" s="5" t="s">
        <v>363</v>
      </c>
      <c r="G2007" s="5" t="s">
        <v>364</v>
      </c>
      <c r="H2007" s="5" t="s">
        <v>365</v>
      </c>
      <c r="I2007" s="5" t="s">
        <v>63</v>
      </c>
      <c r="J2007" s="5">
        <v>17.511838000000001</v>
      </c>
      <c r="K2007" s="5">
        <v>-97.488547999999994</v>
      </c>
      <c r="L2007" s="5" t="str">
        <f>HYPERLINK("https://maps.google.com/?q=17.511838,-97.488547999999994", "🔗 Ver Mapa")</f>
        <v>🔗 Ver Mapa</v>
      </c>
    </row>
    <row r="2008" spans="1:12" ht="43.5" x14ac:dyDescent="0.35">
      <c r="A2008" s="6" t="s">
        <v>359</v>
      </c>
      <c r="B2008" s="6" t="s">
        <v>360</v>
      </c>
      <c r="C2008" s="6" t="s">
        <v>369</v>
      </c>
      <c r="D2008" s="6" t="s">
        <v>31</v>
      </c>
      <c r="E2008" s="6" t="s">
        <v>362</v>
      </c>
      <c r="F2008" s="6" t="s">
        <v>363</v>
      </c>
      <c r="G2008" s="6" t="s">
        <v>364</v>
      </c>
      <c r="H2008" s="6" t="s">
        <v>365</v>
      </c>
      <c r="I2008" s="6" t="s">
        <v>63</v>
      </c>
      <c r="J2008" s="6">
        <v>17.724615</v>
      </c>
      <c r="K2008" s="6">
        <v>-97.323898</v>
      </c>
      <c r="L2008" s="6" t="str">
        <f>HYPERLINK("https://maps.google.com/?q=17.724615,-97.323898", "🔗 Ver Mapa")</f>
        <v>🔗 Ver Mapa</v>
      </c>
    </row>
    <row r="2009" spans="1:12" ht="43.5" x14ac:dyDescent="0.35">
      <c r="A2009" s="5" t="s">
        <v>359</v>
      </c>
      <c r="B2009" s="5" t="s">
        <v>360</v>
      </c>
      <c r="C2009" s="5" t="s">
        <v>369</v>
      </c>
      <c r="D2009" s="5" t="s">
        <v>31</v>
      </c>
      <c r="E2009" s="5" t="s">
        <v>362</v>
      </c>
      <c r="F2009" s="5" t="s">
        <v>363</v>
      </c>
      <c r="G2009" s="5" t="s">
        <v>364</v>
      </c>
      <c r="H2009" s="5" t="s">
        <v>365</v>
      </c>
      <c r="I2009" s="5" t="s">
        <v>63</v>
      </c>
      <c r="J2009" s="5">
        <v>17.801687000000001</v>
      </c>
      <c r="K2009" s="5">
        <v>-96.959688</v>
      </c>
      <c r="L2009" s="5" t="str">
        <f>HYPERLINK("https://maps.google.com/?q=17.801687,-96.959688", "🔗 Ver Mapa")</f>
        <v>🔗 Ver Mapa</v>
      </c>
    </row>
    <row r="2010" spans="1:12" ht="43.5" x14ac:dyDescent="0.35">
      <c r="A2010" s="6" t="s">
        <v>359</v>
      </c>
      <c r="B2010" s="6" t="s">
        <v>360</v>
      </c>
      <c r="C2010" s="6" t="s">
        <v>369</v>
      </c>
      <c r="D2010" s="6" t="s">
        <v>31</v>
      </c>
      <c r="E2010" s="6" t="s">
        <v>362</v>
      </c>
      <c r="F2010" s="6" t="s">
        <v>363</v>
      </c>
      <c r="G2010" s="6" t="s">
        <v>364</v>
      </c>
      <c r="H2010" s="6" t="s">
        <v>365</v>
      </c>
      <c r="I2010" s="6" t="s">
        <v>63</v>
      </c>
      <c r="J2010" s="6">
        <v>17.806621</v>
      </c>
      <c r="K2010" s="6">
        <v>-97.776161999999999</v>
      </c>
      <c r="L2010" s="6" t="str">
        <f>HYPERLINK("https://maps.google.com/?q=17.806621,-97.776161999999999", "🔗 Ver Mapa")</f>
        <v>🔗 Ver Mapa</v>
      </c>
    </row>
    <row r="2011" spans="1:12" ht="43.5" x14ac:dyDescent="0.35">
      <c r="A2011" s="5" t="s">
        <v>359</v>
      </c>
      <c r="B2011" s="5" t="s">
        <v>360</v>
      </c>
      <c r="C2011" s="5" t="s">
        <v>369</v>
      </c>
      <c r="D2011" s="5" t="s">
        <v>31</v>
      </c>
      <c r="E2011" s="5" t="s">
        <v>362</v>
      </c>
      <c r="F2011" s="5" t="s">
        <v>363</v>
      </c>
      <c r="G2011" s="5" t="s">
        <v>364</v>
      </c>
      <c r="H2011" s="5" t="s">
        <v>365</v>
      </c>
      <c r="I2011" s="5" t="s">
        <v>63</v>
      </c>
      <c r="J2011" s="5">
        <v>18.081168999999999</v>
      </c>
      <c r="K2011" s="5">
        <v>-96.118475000000004</v>
      </c>
      <c r="L2011" s="5" t="str">
        <f>HYPERLINK("https://maps.google.com/?q=18.081169,-96.118475000000004", "🔗 Ver Mapa")</f>
        <v>🔗 Ver Mapa</v>
      </c>
    </row>
    <row r="2012" spans="1:12" ht="43.5" x14ac:dyDescent="0.35">
      <c r="A2012" s="6" t="s">
        <v>359</v>
      </c>
      <c r="B2012" s="6" t="s">
        <v>360</v>
      </c>
      <c r="C2012" s="6" t="s">
        <v>369</v>
      </c>
      <c r="D2012" s="6" t="s">
        <v>31</v>
      </c>
      <c r="E2012" s="6" t="s">
        <v>362</v>
      </c>
      <c r="F2012" s="6" t="s">
        <v>363</v>
      </c>
      <c r="G2012" s="6" t="s">
        <v>364</v>
      </c>
      <c r="H2012" s="6" t="s">
        <v>365</v>
      </c>
      <c r="I2012" s="6" t="s">
        <v>63</v>
      </c>
      <c r="J2012" s="6">
        <v>18.13222</v>
      </c>
      <c r="K2012" s="6">
        <v>-97.070751000000001</v>
      </c>
      <c r="L2012" s="6" t="str">
        <f>HYPERLINK("https://maps.google.com/?q=18.13222,-97.070751000000001", "🔗 Ver Mapa")</f>
        <v>🔗 Ver Mapa</v>
      </c>
    </row>
    <row r="2013" spans="1:12" ht="43.5" x14ac:dyDescent="0.35">
      <c r="A2013" s="5" t="s">
        <v>359</v>
      </c>
      <c r="B2013" s="5" t="s">
        <v>360</v>
      </c>
      <c r="C2013" s="5" t="s">
        <v>370</v>
      </c>
      <c r="D2013" s="5" t="s">
        <v>31</v>
      </c>
      <c r="E2013" s="5" t="s">
        <v>362</v>
      </c>
      <c r="F2013" s="5" t="s">
        <v>363</v>
      </c>
      <c r="G2013" s="5" t="s">
        <v>364</v>
      </c>
      <c r="H2013" s="5" t="s">
        <v>365</v>
      </c>
      <c r="I2013" s="5" t="s">
        <v>63</v>
      </c>
      <c r="J2013" s="5">
        <v>15.746143999999999</v>
      </c>
      <c r="K2013" s="5">
        <v>-96.465182999999996</v>
      </c>
      <c r="L2013" s="5" t="str">
        <f>HYPERLINK("https://maps.google.com/?q=15.746144,-96.465182999999996", "🔗 Ver Mapa")</f>
        <v>🔗 Ver Mapa</v>
      </c>
    </row>
    <row r="2014" spans="1:12" ht="43.5" x14ac:dyDescent="0.35">
      <c r="A2014" s="6" t="s">
        <v>359</v>
      </c>
      <c r="B2014" s="6" t="s">
        <v>360</v>
      </c>
      <c r="C2014" s="6" t="s">
        <v>370</v>
      </c>
      <c r="D2014" s="6" t="s">
        <v>31</v>
      </c>
      <c r="E2014" s="6" t="s">
        <v>362</v>
      </c>
      <c r="F2014" s="6" t="s">
        <v>363</v>
      </c>
      <c r="G2014" s="6" t="s">
        <v>364</v>
      </c>
      <c r="H2014" s="6" t="s">
        <v>365</v>
      </c>
      <c r="I2014" s="6" t="s">
        <v>63</v>
      </c>
      <c r="J2014" s="6">
        <v>16.237075999999998</v>
      </c>
      <c r="K2014" s="6">
        <v>-97.292351999999994</v>
      </c>
      <c r="L2014" s="6" t="str">
        <f>HYPERLINK("https://maps.google.com/?q=16.237076,-97.292351999999994", "🔗 Ver Mapa")</f>
        <v>🔗 Ver Mapa</v>
      </c>
    </row>
    <row r="2015" spans="1:12" ht="43.5" x14ac:dyDescent="0.35">
      <c r="A2015" s="5" t="s">
        <v>359</v>
      </c>
      <c r="B2015" s="5" t="s">
        <v>360</v>
      </c>
      <c r="C2015" s="5" t="s">
        <v>370</v>
      </c>
      <c r="D2015" s="5" t="s">
        <v>31</v>
      </c>
      <c r="E2015" s="5" t="s">
        <v>362</v>
      </c>
      <c r="F2015" s="5" t="s">
        <v>363</v>
      </c>
      <c r="G2015" s="5" t="s">
        <v>364</v>
      </c>
      <c r="H2015" s="5" t="s">
        <v>365</v>
      </c>
      <c r="I2015" s="5" t="s">
        <v>63</v>
      </c>
      <c r="J2015" s="5">
        <v>16.279057999999999</v>
      </c>
      <c r="K2015" s="5">
        <v>-97.820240999999996</v>
      </c>
      <c r="L2015" s="5" t="str">
        <f>HYPERLINK("https://maps.google.com/?q=16.279058,-97.820240999999996", "🔗 Ver Mapa")</f>
        <v>🔗 Ver Mapa</v>
      </c>
    </row>
    <row r="2016" spans="1:12" ht="43.5" x14ac:dyDescent="0.35">
      <c r="A2016" s="6" t="s">
        <v>359</v>
      </c>
      <c r="B2016" s="6" t="s">
        <v>360</v>
      </c>
      <c r="C2016" s="6" t="s">
        <v>370</v>
      </c>
      <c r="D2016" s="6" t="s">
        <v>31</v>
      </c>
      <c r="E2016" s="6" t="s">
        <v>362</v>
      </c>
      <c r="F2016" s="6" t="s">
        <v>363</v>
      </c>
      <c r="G2016" s="6" t="s">
        <v>364</v>
      </c>
      <c r="H2016" s="6" t="s">
        <v>365</v>
      </c>
      <c r="I2016" s="6" t="s">
        <v>63</v>
      </c>
      <c r="J2016" s="6">
        <v>16.328751</v>
      </c>
      <c r="K2016" s="6">
        <v>-96.596529000000004</v>
      </c>
      <c r="L2016" s="6" t="str">
        <f>HYPERLINK("https://maps.google.com/?q=16.328751,-96.596529000000004", "🔗 Ver Mapa")</f>
        <v>🔗 Ver Mapa</v>
      </c>
    </row>
    <row r="2017" spans="1:12" ht="43.5" x14ac:dyDescent="0.35">
      <c r="A2017" s="5" t="s">
        <v>359</v>
      </c>
      <c r="B2017" s="5" t="s">
        <v>360</v>
      </c>
      <c r="C2017" s="5" t="s">
        <v>370</v>
      </c>
      <c r="D2017" s="5" t="s">
        <v>31</v>
      </c>
      <c r="E2017" s="5" t="s">
        <v>362</v>
      </c>
      <c r="F2017" s="5" t="s">
        <v>363</v>
      </c>
      <c r="G2017" s="5" t="s">
        <v>364</v>
      </c>
      <c r="H2017" s="5" t="s">
        <v>365</v>
      </c>
      <c r="I2017" s="5" t="s">
        <v>63</v>
      </c>
      <c r="J2017" s="5">
        <v>16.332014000000001</v>
      </c>
      <c r="K2017" s="5">
        <v>-95.231966</v>
      </c>
      <c r="L2017" s="5" t="str">
        <f>HYPERLINK("https://maps.google.com/?q=16.332014,-95.231966", "🔗 Ver Mapa")</f>
        <v>🔗 Ver Mapa</v>
      </c>
    </row>
    <row r="2018" spans="1:12" ht="43.5" x14ac:dyDescent="0.35">
      <c r="A2018" s="6" t="s">
        <v>359</v>
      </c>
      <c r="B2018" s="6" t="s">
        <v>360</v>
      </c>
      <c r="C2018" s="6" t="s">
        <v>370</v>
      </c>
      <c r="D2018" s="6" t="s">
        <v>31</v>
      </c>
      <c r="E2018" s="6" t="s">
        <v>362</v>
      </c>
      <c r="F2018" s="6" t="s">
        <v>363</v>
      </c>
      <c r="G2018" s="6" t="s">
        <v>364</v>
      </c>
      <c r="H2018" s="6" t="s">
        <v>365</v>
      </c>
      <c r="I2018" s="6" t="s">
        <v>63</v>
      </c>
      <c r="J2018" s="6">
        <v>16.433347000000001</v>
      </c>
      <c r="K2018" s="6">
        <v>-95.021687</v>
      </c>
      <c r="L2018" s="6" t="str">
        <f>HYPERLINK("https://maps.google.com/?q=16.433347,-95.021687", "🔗 Ver Mapa")</f>
        <v>🔗 Ver Mapa</v>
      </c>
    </row>
    <row r="2019" spans="1:12" ht="43.5" x14ac:dyDescent="0.35">
      <c r="A2019" s="5" t="s">
        <v>359</v>
      </c>
      <c r="B2019" s="5" t="s">
        <v>360</v>
      </c>
      <c r="C2019" s="5" t="s">
        <v>370</v>
      </c>
      <c r="D2019" s="5" t="s">
        <v>31</v>
      </c>
      <c r="E2019" s="5" t="s">
        <v>362</v>
      </c>
      <c r="F2019" s="5" t="s">
        <v>363</v>
      </c>
      <c r="G2019" s="5" t="s">
        <v>364</v>
      </c>
      <c r="H2019" s="5" t="s">
        <v>365</v>
      </c>
      <c r="I2019" s="5" t="s">
        <v>63</v>
      </c>
      <c r="J2019" s="5">
        <v>16.500512000000001</v>
      </c>
      <c r="K2019" s="5">
        <v>-96.106790000000004</v>
      </c>
      <c r="L2019" s="5" t="str">
        <f>HYPERLINK("https://maps.google.com/?q=16.500512,-96.106790000000004", "🔗 Ver Mapa")</f>
        <v>🔗 Ver Mapa</v>
      </c>
    </row>
    <row r="2020" spans="1:12" ht="43.5" x14ac:dyDescent="0.35">
      <c r="A2020" s="6" t="s">
        <v>359</v>
      </c>
      <c r="B2020" s="6" t="s">
        <v>360</v>
      </c>
      <c r="C2020" s="6" t="s">
        <v>370</v>
      </c>
      <c r="D2020" s="6" t="s">
        <v>31</v>
      </c>
      <c r="E2020" s="6" t="s">
        <v>362</v>
      </c>
      <c r="F2020" s="6" t="s">
        <v>363</v>
      </c>
      <c r="G2020" s="6" t="s">
        <v>364</v>
      </c>
      <c r="H2020" s="6" t="s">
        <v>365</v>
      </c>
      <c r="I2020" s="6" t="s">
        <v>63</v>
      </c>
      <c r="J2020" s="6">
        <v>16.519807</v>
      </c>
      <c r="K2020" s="6">
        <v>-96.983885000000001</v>
      </c>
      <c r="L2020" s="6" t="str">
        <f>HYPERLINK("https://maps.google.com/?q=16.519807,-96.983885000000001", "🔗 Ver Mapa")</f>
        <v>🔗 Ver Mapa</v>
      </c>
    </row>
    <row r="2021" spans="1:12" ht="43.5" x14ac:dyDescent="0.35">
      <c r="A2021" s="5" t="s">
        <v>359</v>
      </c>
      <c r="B2021" s="5" t="s">
        <v>360</v>
      </c>
      <c r="C2021" s="5" t="s">
        <v>370</v>
      </c>
      <c r="D2021" s="5" t="s">
        <v>31</v>
      </c>
      <c r="E2021" s="5" t="s">
        <v>362</v>
      </c>
      <c r="F2021" s="5" t="s">
        <v>363</v>
      </c>
      <c r="G2021" s="5" t="s">
        <v>364</v>
      </c>
      <c r="H2021" s="5" t="s">
        <v>365</v>
      </c>
      <c r="I2021" s="5" t="s">
        <v>63</v>
      </c>
      <c r="J2021" s="5">
        <v>16.564243999999999</v>
      </c>
      <c r="K2021" s="5">
        <v>-96.731829000000005</v>
      </c>
      <c r="L2021" s="5" t="str">
        <f>HYPERLINK("https://maps.google.com/?q=16.564244,-96.731829000000005", "🔗 Ver Mapa")</f>
        <v>🔗 Ver Mapa</v>
      </c>
    </row>
    <row r="2022" spans="1:12" ht="43.5" x14ac:dyDescent="0.35">
      <c r="A2022" s="6" t="s">
        <v>359</v>
      </c>
      <c r="B2022" s="6" t="s">
        <v>360</v>
      </c>
      <c r="C2022" s="6" t="s">
        <v>370</v>
      </c>
      <c r="D2022" s="6" t="s">
        <v>31</v>
      </c>
      <c r="E2022" s="6" t="s">
        <v>362</v>
      </c>
      <c r="F2022" s="6" t="s">
        <v>363</v>
      </c>
      <c r="G2022" s="6" t="s">
        <v>364</v>
      </c>
      <c r="H2022" s="6" t="s">
        <v>365</v>
      </c>
      <c r="I2022" s="6" t="s">
        <v>63</v>
      </c>
      <c r="J2022" s="6">
        <v>16.791625</v>
      </c>
      <c r="K2022" s="6">
        <v>-96.674999</v>
      </c>
      <c r="L2022" s="6" t="str">
        <f>HYPERLINK("https://maps.google.com/?q=16.791625,-96.674999", "🔗 Ver Mapa")</f>
        <v>🔗 Ver Mapa</v>
      </c>
    </row>
    <row r="2023" spans="1:12" ht="43.5" x14ac:dyDescent="0.35">
      <c r="A2023" s="5" t="s">
        <v>359</v>
      </c>
      <c r="B2023" s="5" t="s">
        <v>360</v>
      </c>
      <c r="C2023" s="5" t="s">
        <v>370</v>
      </c>
      <c r="D2023" s="5" t="s">
        <v>31</v>
      </c>
      <c r="E2023" s="5" t="s">
        <v>362</v>
      </c>
      <c r="F2023" s="5" t="s">
        <v>363</v>
      </c>
      <c r="G2023" s="5" t="s">
        <v>364</v>
      </c>
      <c r="H2023" s="5" t="s">
        <v>365</v>
      </c>
      <c r="I2023" s="5" t="s">
        <v>63</v>
      </c>
      <c r="J2023" s="5">
        <v>16.866371000000001</v>
      </c>
      <c r="K2023" s="5">
        <v>-96.785623000000001</v>
      </c>
      <c r="L2023" s="5" t="str">
        <f>HYPERLINK("https://maps.google.com/?q=16.866371,-96.785623000000001", "🔗 Ver Mapa")</f>
        <v>🔗 Ver Mapa</v>
      </c>
    </row>
    <row r="2024" spans="1:12" ht="43.5" x14ac:dyDescent="0.35">
      <c r="A2024" s="6" t="s">
        <v>359</v>
      </c>
      <c r="B2024" s="6" t="s">
        <v>360</v>
      </c>
      <c r="C2024" s="6" t="s">
        <v>370</v>
      </c>
      <c r="D2024" s="6" t="s">
        <v>31</v>
      </c>
      <c r="E2024" s="6" t="s">
        <v>362</v>
      </c>
      <c r="F2024" s="6" t="s">
        <v>363</v>
      </c>
      <c r="G2024" s="6" t="s">
        <v>364</v>
      </c>
      <c r="H2024" s="6" t="s">
        <v>365</v>
      </c>
      <c r="I2024" s="6" t="s">
        <v>63</v>
      </c>
      <c r="J2024" s="6">
        <v>16.950706</v>
      </c>
      <c r="K2024" s="6">
        <v>-96.750504000000006</v>
      </c>
      <c r="L2024" s="6" t="str">
        <f>HYPERLINK("https://maps.google.com/?q=16.950706,-96.750504000000006", "🔗 Ver Mapa")</f>
        <v>🔗 Ver Mapa</v>
      </c>
    </row>
    <row r="2025" spans="1:12" ht="43.5" x14ac:dyDescent="0.35">
      <c r="A2025" s="5" t="s">
        <v>359</v>
      </c>
      <c r="B2025" s="5" t="s">
        <v>360</v>
      </c>
      <c r="C2025" s="5" t="s">
        <v>370</v>
      </c>
      <c r="D2025" s="5" t="s">
        <v>31</v>
      </c>
      <c r="E2025" s="5" t="s">
        <v>362</v>
      </c>
      <c r="F2025" s="5" t="s">
        <v>363</v>
      </c>
      <c r="G2025" s="5" t="s">
        <v>364</v>
      </c>
      <c r="H2025" s="5" t="s">
        <v>365</v>
      </c>
      <c r="I2025" s="5" t="s">
        <v>63</v>
      </c>
      <c r="J2025" s="5">
        <v>16.955580000000001</v>
      </c>
      <c r="K2025" s="5">
        <v>-96.479206000000005</v>
      </c>
      <c r="L2025" s="5" t="str">
        <f>HYPERLINK("https://maps.google.com/?q=16.95558,-96.479206000000005", "🔗 Ver Mapa")</f>
        <v>🔗 Ver Mapa</v>
      </c>
    </row>
    <row r="2026" spans="1:12" ht="43.5" x14ac:dyDescent="0.35">
      <c r="A2026" s="6" t="s">
        <v>359</v>
      </c>
      <c r="B2026" s="6" t="s">
        <v>360</v>
      </c>
      <c r="C2026" s="6" t="s">
        <v>370</v>
      </c>
      <c r="D2026" s="6" t="s">
        <v>31</v>
      </c>
      <c r="E2026" s="6" t="s">
        <v>362</v>
      </c>
      <c r="F2026" s="6" t="s">
        <v>363</v>
      </c>
      <c r="G2026" s="6" t="s">
        <v>364</v>
      </c>
      <c r="H2026" s="6" t="s">
        <v>365</v>
      </c>
      <c r="I2026" s="6" t="s">
        <v>63</v>
      </c>
      <c r="J2026" s="6">
        <v>17.026216000000002</v>
      </c>
      <c r="K2026" s="6">
        <v>-97.928115000000005</v>
      </c>
      <c r="L2026" s="6" t="str">
        <f>HYPERLINK("https://maps.google.com/?q=17.026216,-97.928115000000005", "🔗 Ver Mapa")</f>
        <v>🔗 Ver Mapa</v>
      </c>
    </row>
    <row r="2027" spans="1:12" ht="43.5" x14ac:dyDescent="0.35">
      <c r="A2027" s="5" t="s">
        <v>359</v>
      </c>
      <c r="B2027" s="5" t="s">
        <v>360</v>
      </c>
      <c r="C2027" s="5" t="s">
        <v>370</v>
      </c>
      <c r="D2027" s="5" t="s">
        <v>31</v>
      </c>
      <c r="E2027" s="5" t="s">
        <v>362</v>
      </c>
      <c r="F2027" s="5" t="s">
        <v>363</v>
      </c>
      <c r="G2027" s="5" t="s">
        <v>364</v>
      </c>
      <c r="H2027" s="5" t="s">
        <v>365</v>
      </c>
      <c r="I2027" s="5" t="s">
        <v>63</v>
      </c>
      <c r="J2027" s="5">
        <v>17.027131000000001</v>
      </c>
      <c r="K2027" s="5">
        <v>-96.077044000000001</v>
      </c>
      <c r="L2027" s="5" t="str">
        <f>HYPERLINK("https://maps.google.com/?q=17.027131,-96.077044000000001", "🔗 Ver Mapa")</f>
        <v>🔗 Ver Mapa</v>
      </c>
    </row>
    <row r="2028" spans="1:12" ht="43.5" x14ac:dyDescent="0.35">
      <c r="A2028" s="6" t="s">
        <v>359</v>
      </c>
      <c r="B2028" s="6" t="s">
        <v>360</v>
      </c>
      <c r="C2028" s="6" t="s">
        <v>370</v>
      </c>
      <c r="D2028" s="6" t="s">
        <v>31</v>
      </c>
      <c r="E2028" s="6" t="s">
        <v>362</v>
      </c>
      <c r="F2028" s="6" t="s">
        <v>363</v>
      </c>
      <c r="G2028" s="6" t="s">
        <v>364</v>
      </c>
      <c r="H2028" s="6" t="s">
        <v>365</v>
      </c>
      <c r="I2028" s="6" t="s">
        <v>63</v>
      </c>
      <c r="J2028" s="6">
        <v>17.063777999999999</v>
      </c>
      <c r="K2028" s="6">
        <v>-96.729971000000006</v>
      </c>
      <c r="L2028" s="6" t="str">
        <f>HYPERLINK("https://maps.google.com/?q=17.063778,-96.729971000000006", "🔗 Ver Mapa")</f>
        <v>🔗 Ver Mapa</v>
      </c>
    </row>
    <row r="2029" spans="1:12" ht="43.5" x14ac:dyDescent="0.35">
      <c r="A2029" s="5" t="s">
        <v>359</v>
      </c>
      <c r="B2029" s="5" t="s">
        <v>360</v>
      </c>
      <c r="C2029" s="5" t="s">
        <v>370</v>
      </c>
      <c r="D2029" s="5" t="s">
        <v>31</v>
      </c>
      <c r="E2029" s="5" t="s">
        <v>362</v>
      </c>
      <c r="F2029" s="5" t="s">
        <v>363</v>
      </c>
      <c r="G2029" s="5" t="s">
        <v>364</v>
      </c>
      <c r="H2029" s="5" t="s">
        <v>365</v>
      </c>
      <c r="I2029" s="5" t="s">
        <v>63</v>
      </c>
      <c r="J2029" s="5">
        <v>17.207464000000002</v>
      </c>
      <c r="K2029" s="5">
        <v>-96.801094000000006</v>
      </c>
      <c r="L2029" s="5" t="str">
        <f>HYPERLINK("https://maps.google.com/?q=17.207464,-96.801094000000006", "🔗 Ver Mapa")</f>
        <v>🔗 Ver Mapa</v>
      </c>
    </row>
    <row r="2030" spans="1:12" ht="43.5" x14ac:dyDescent="0.35">
      <c r="A2030" s="6" t="s">
        <v>359</v>
      </c>
      <c r="B2030" s="6" t="s">
        <v>360</v>
      </c>
      <c r="C2030" s="6" t="s">
        <v>370</v>
      </c>
      <c r="D2030" s="6" t="s">
        <v>31</v>
      </c>
      <c r="E2030" s="6" t="s">
        <v>362</v>
      </c>
      <c r="F2030" s="6" t="s">
        <v>363</v>
      </c>
      <c r="G2030" s="6" t="s">
        <v>364</v>
      </c>
      <c r="H2030" s="6" t="s">
        <v>365</v>
      </c>
      <c r="I2030" s="6" t="s">
        <v>63</v>
      </c>
      <c r="J2030" s="6">
        <v>17.267448999999999</v>
      </c>
      <c r="K2030" s="6">
        <v>-97.680485000000004</v>
      </c>
      <c r="L2030" s="6" t="str">
        <f>HYPERLINK("https://maps.google.com/?q=17.267449,-97.680485000000004", "🔗 Ver Mapa")</f>
        <v>🔗 Ver Mapa</v>
      </c>
    </row>
    <row r="2031" spans="1:12" ht="43.5" x14ac:dyDescent="0.35">
      <c r="A2031" s="5" t="s">
        <v>359</v>
      </c>
      <c r="B2031" s="5" t="s">
        <v>360</v>
      </c>
      <c r="C2031" s="5" t="s">
        <v>370</v>
      </c>
      <c r="D2031" s="5" t="s">
        <v>31</v>
      </c>
      <c r="E2031" s="5" t="s">
        <v>362</v>
      </c>
      <c r="F2031" s="5" t="s">
        <v>363</v>
      </c>
      <c r="G2031" s="5" t="s">
        <v>364</v>
      </c>
      <c r="H2031" s="5" t="s">
        <v>365</v>
      </c>
      <c r="I2031" s="5" t="s">
        <v>63</v>
      </c>
      <c r="J2031" s="5">
        <v>17.331247999999999</v>
      </c>
      <c r="K2031" s="5">
        <v>-96.487900999999994</v>
      </c>
      <c r="L2031" s="5" t="str">
        <f>HYPERLINK("https://maps.google.com/?q=17.331248,-96.487900999999994", "🔗 Ver Mapa")</f>
        <v>🔗 Ver Mapa</v>
      </c>
    </row>
    <row r="2032" spans="1:12" ht="43.5" x14ac:dyDescent="0.35">
      <c r="A2032" s="6" t="s">
        <v>359</v>
      </c>
      <c r="B2032" s="6" t="s">
        <v>360</v>
      </c>
      <c r="C2032" s="6" t="s">
        <v>370</v>
      </c>
      <c r="D2032" s="6" t="s">
        <v>31</v>
      </c>
      <c r="E2032" s="6" t="s">
        <v>362</v>
      </c>
      <c r="F2032" s="6" t="s">
        <v>363</v>
      </c>
      <c r="G2032" s="6" t="s">
        <v>364</v>
      </c>
      <c r="H2032" s="6" t="s">
        <v>365</v>
      </c>
      <c r="I2032" s="6" t="s">
        <v>63</v>
      </c>
      <c r="J2032" s="6">
        <v>17.335315999999999</v>
      </c>
      <c r="K2032" s="6">
        <v>-98.012051</v>
      </c>
      <c r="L2032" s="6" t="str">
        <f>HYPERLINK("https://maps.google.com/?q=17.335316,-98.012051", "🔗 Ver Mapa")</f>
        <v>🔗 Ver Mapa</v>
      </c>
    </row>
    <row r="2033" spans="1:12" ht="43.5" x14ac:dyDescent="0.35">
      <c r="A2033" s="5" t="s">
        <v>359</v>
      </c>
      <c r="B2033" s="5" t="s">
        <v>360</v>
      </c>
      <c r="C2033" s="5" t="s">
        <v>370</v>
      </c>
      <c r="D2033" s="5" t="s">
        <v>31</v>
      </c>
      <c r="E2033" s="5" t="s">
        <v>362</v>
      </c>
      <c r="F2033" s="5" t="s">
        <v>363</v>
      </c>
      <c r="G2033" s="5" t="s">
        <v>364</v>
      </c>
      <c r="H2033" s="5" t="s">
        <v>365</v>
      </c>
      <c r="I2033" s="5" t="s">
        <v>63</v>
      </c>
      <c r="J2033" s="5">
        <v>17.338730000000002</v>
      </c>
      <c r="K2033" s="5">
        <v>-96.152553999999995</v>
      </c>
      <c r="L2033" s="5" t="str">
        <f>HYPERLINK("https://maps.google.com/?q=17.33873,-96.152553999999995", "🔗 Ver Mapa")</f>
        <v>🔗 Ver Mapa</v>
      </c>
    </row>
    <row r="2034" spans="1:12" ht="43.5" x14ac:dyDescent="0.35">
      <c r="A2034" s="6" t="s">
        <v>359</v>
      </c>
      <c r="B2034" s="6" t="s">
        <v>360</v>
      </c>
      <c r="C2034" s="6" t="s">
        <v>370</v>
      </c>
      <c r="D2034" s="6" t="s">
        <v>31</v>
      </c>
      <c r="E2034" s="6" t="s">
        <v>362</v>
      </c>
      <c r="F2034" s="6" t="s">
        <v>363</v>
      </c>
      <c r="G2034" s="6" t="s">
        <v>364</v>
      </c>
      <c r="H2034" s="6" t="s">
        <v>365</v>
      </c>
      <c r="I2034" s="6" t="s">
        <v>63</v>
      </c>
      <c r="J2034" s="6">
        <v>17.361765999999999</v>
      </c>
      <c r="K2034" s="6">
        <v>-95.922253999999995</v>
      </c>
      <c r="L2034" s="6" t="str">
        <f>HYPERLINK("https://maps.google.com/?q=17.361766,-95.922253999999995", "🔗 Ver Mapa")</f>
        <v>🔗 Ver Mapa</v>
      </c>
    </row>
    <row r="2035" spans="1:12" ht="43.5" x14ac:dyDescent="0.35">
      <c r="A2035" s="5" t="s">
        <v>359</v>
      </c>
      <c r="B2035" s="5" t="s">
        <v>360</v>
      </c>
      <c r="C2035" s="5" t="s">
        <v>370</v>
      </c>
      <c r="D2035" s="5" t="s">
        <v>31</v>
      </c>
      <c r="E2035" s="5" t="s">
        <v>362</v>
      </c>
      <c r="F2035" s="5" t="s">
        <v>363</v>
      </c>
      <c r="G2035" s="5" t="s">
        <v>364</v>
      </c>
      <c r="H2035" s="5" t="s">
        <v>365</v>
      </c>
      <c r="I2035" s="5" t="s">
        <v>63</v>
      </c>
      <c r="J2035" s="5">
        <v>17.458341000000001</v>
      </c>
      <c r="K2035" s="5">
        <v>-97.225285</v>
      </c>
      <c r="L2035" s="5" t="str">
        <f>HYPERLINK("https://maps.google.com/?q=17.458341,-97.225285", "🔗 Ver Mapa")</f>
        <v>🔗 Ver Mapa</v>
      </c>
    </row>
    <row r="2036" spans="1:12" ht="43.5" x14ac:dyDescent="0.35">
      <c r="A2036" s="6" t="s">
        <v>359</v>
      </c>
      <c r="B2036" s="6" t="s">
        <v>360</v>
      </c>
      <c r="C2036" s="6" t="s">
        <v>370</v>
      </c>
      <c r="D2036" s="6" t="s">
        <v>31</v>
      </c>
      <c r="E2036" s="6" t="s">
        <v>362</v>
      </c>
      <c r="F2036" s="6" t="s">
        <v>363</v>
      </c>
      <c r="G2036" s="6" t="s">
        <v>364</v>
      </c>
      <c r="H2036" s="6" t="s">
        <v>365</v>
      </c>
      <c r="I2036" s="6" t="s">
        <v>63</v>
      </c>
      <c r="J2036" s="6">
        <v>17.501442000000001</v>
      </c>
      <c r="K2036" s="6">
        <v>-98.142583999999999</v>
      </c>
      <c r="L2036" s="6" t="str">
        <f>HYPERLINK("https://maps.google.com/?q=17.501442,-98.142583999999999", "🔗 Ver Mapa")</f>
        <v>🔗 Ver Mapa</v>
      </c>
    </row>
    <row r="2037" spans="1:12" ht="43.5" x14ac:dyDescent="0.35">
      <c r="A2037" s="5" t="s">
        <v>359</v>
      </c>
      <c r="B2037" s="5" t="s">
        <v>360</v>
      </c>
      <c r="C2037" s="5" t="s">
        <v>370</v>
      </c>
      <c r="D2037" s="5" t="s">
        <v>31</v>
      </c>
      <c r="E2037" s="5" t="s">
        <v>362</v>
      </c>
      <c r="F2037" s="5" t="s">
        <v>363</v>
      </c>
      <c r="G2037" s="5" t="s">
        <v>364</v>
      </c>
      <c r="H2037" s="5" t="s">
        <v>365</v>
      </c>
      <c r="I2037" s="5" t="s">
        <v>63</v>
      </c>
      <c r="J2037" s="5">
        <v>17.511838000000001</v>
      </c>
      <c r="K2037" s="5">
        <v>-97.488547999999994</v>
      </c>
      <c r="L2037" s="5" t="str">
        <f>HYPERLINK("https://maps.google.com/?q=17.511838,-97.488547999999994", "🔗 Ver Mapa")</f>
        <v>🔗 Ver Mapa</v>
      </c>
    </row>
    <row r="2038" spans="1:12" ht="43.5" x14ac:dyDescent="0.35">
      <c r="A2038" s="6" t="s">
        <v>359</v>
      </c>
      <c r="B2038" s="6" t="s">
        <v>360</v>
      </c>
      <c r="C2038" s="6" t="s">
        <v>370</v>
      </c>
      <c r="D2038" s="6" t="s">
        <v>31</v>
      </c>
      <c r="E2038" s="6" t="s">
        <v>362</v>
      </c>
      <c r="F2038" s="6" t="s">
        <v>363</v>
      </c>
      <c r="G2038" s="6" t="s">
        <v>364</v>
      </c>
      <c r="H2038" s="6" t="s">
        <v>365</v>
      </c>
      <c r="I2038" s="6" t="s">
        <v>63</v>
      </c>
      <c r="J2038" s="6">
        <v>17.724615</v>
      </c>
      <c r="K2038" s="6">
        <v>-97.323898</v>
      </c>
      <c r="L2038" s="6" t="str">
        <f>HYPERLINK("https://maps.google.com/?q=17.724615,-97.323898", "🔗 Ver Mapa")</f>
        <v>🔗 Ver Mapa</v>
      </c>
    </row>
    <row r="2039" spans="1:12" ht="43.5" x14ac:dyDescent="0.35">
      <c r="A2039" s="5" t="s">
        <v>359</v>
      </c>
      <c r="B2039" s="5" t="s">
        <v>360</v>
      </c>
      <c r="C2039" s="5" t="s">
        <v>370</v>
      </c>
      <c r="D2039" s="5" t="s">
        <v>31</v>
      </c>
      <c r="E2039" s="5" t="s">
        <v>362</v>
      </c>
      <c r="F2039" s="5" t="s">
        <v>363</v>
      </c>
      <c r="G2039" s="5" t="s">
        <v>364</v>
      </c>
      <c r="H2039" s="5" t="s">
        <v>365</v>
      </c>
      <c r="I2039" s="5" t="s">
        <v>63</v>
      </c>
      <c r="J2039" s="5">
        <v>17.801687000000001</v>
      </c>
      <c r="K2039" s="5">
        <v>-96.959688</v>
      </c>
      <c r="L2039" s="5" t="str">
        <f>HYPERLINK("https://maps.google.com/?q=17.801687,-96.959688", "🔗 Ver Mapa")</f>
        <v>🔗 Ver Mapa</v>
      </c>
    </row>
    <row r="2040" spans="1:12" ht="43.5" x14ac:dyDescent="0.35">
      <c r="A2040" s="6" t="s">
        <v>359</v>
      </c>
      <c r="B2040" s="6" t="s">
        <v>360</v>
      </c>
      <c r="C2040" s="6" t="s">
        <v>370</v>
      </c>
      <c r="D2040" s="6" t="s">
        <v>31</v>
      </c>
      <c r="E2040" s="6" t="s">
        <v>362</v>
      </c>
      <c r="F2040" s="6" t="s">
        <v>363</v>
      </c>
      <c r="G2040" s="6" t="s">
        <v>364</v>
      </c>
      <c r="H2040" s="6" t="s">
        <v>365</v>
      </c>
      <c r="I2040" s="6" t="s">
        <v>63</v>
      </c>
      <c r="J2040" s="6">
        <v>17.806621</v>
      </c>
      <c r="K2040" s="6">
        <v>-97.776161999999999</v>
      </c>
      <c r="L2040" s="6" t="str">
        <f>HYPERLINK("https://maps.google.com/?q=17.806621,-97.776161999999999", "🔗 Ver Mapa")</f>
        <v>🔗 Ver Mapa</v>
      </c>
    </row>
    <row r="2041" spans="1:12" ht="43.5" x14ac:dyDescent="0.35">
      <c r="A2041" s="5" t="s">
        <v>359</v>
      </c>
      <c r="B2041" s="5" t="s">
        <v>360</v>
      </c>
      <c r="C2041" s="5" t="s">
        <v>370</v>
      </c>
      <c r="D2041" s="5" t="s">
        <v>31</v>
      </c>
      <c r="E2041" s="5" t="s">
        <v>362</v>
      </c>
      <c r="F2041" s="5" t="s">
        <v>363</v>
      </c>
      <c r="G2041" s="5" t="s">
        <v>364</v>
      </c>
      <c r="H2041" s="5" t="s">
        <v>365</v>
      </c>
      <c r="I2041" s="5" t="s">
        <v>63</v>
      </c>
      <c r="J2041" s="5">
        <v>18.081168999999999</v>
      </c>
      <c r="K2041" s="5">
        <v>-96.118475000000004</v>
      </c>
      <c r="L2041" s="5" t="str">
        <f>HYPERLINK("https://maps.google.com/?q=18.081169,-96.118475000000004", "🔗 Ver Mapa")</f>
        <v>🔗 Ver Mapa</v>
      </c>
    </row>
    <row r="2042" spans="1:12" ht="43.5" x14ac:dyDescent="0.35">
      <c r="A2042" s="6" t="s">
        <v>359</v>
      </c>
      <c r="B2042" s="6" t="s">
        <v>360</v>
      </c>
      <c r="C2042" s="6" t="s">
        <v>370</v>
      </c>
      <c r="D2042" s="6" t="s">
        <v>31</v>
      </c>
      <c r="E2042" s="6" t="s">
        <v>362</v>
      </c>
      <c r="F2042" s="6" t="s">
        <v>363</v>
      </c>
      <c r="G2042" s="6" t="s">
        <v>364</v>
      </c>
      <c r="H2042" s="6" t="s">
        <v>365</v>
      </c>
      <c r="I2042" s="6" t="s">
        <v>63</v>
      </c>
      <c r="J2042" s="6">
        <v>18.13222</v>
      </c>
      <c r="K2042" s="6">
        <v>-97.070751000000001</v>
      </c>
      <c r="L2042" s="6" t="str">
        <f>HYPERLINK("https://maps.google.com/?q=18.13222,-97.070751000000001", "🔗 Ver Mapa")</f>
        <v>🔗 Ver Mapa</v>
      </c>
    </row>
    <row r="2043" spans="1:12" ht="43.5" x14ac:dyDescent="0.35">
      <c r="A2043" s="5" t="s">
        <v>359</v>
      </c>
      <c r="B2043" s="5" t="s">
        <v>360</v>
      </c>
      <c r="C2043" s="5" t="s">
        <v>371</v>
      </c>
      <c r="D2043" s="5" t="s">
        <v>31</v>
      </c>
      <c r="E2043" s="5" t="s">
        <v>362</v>
      </c>
      <c r="F2043" s="5" t="s">
        <v>363</v>
      </c>
      <c r="G2043" s="5" t="s">
        <v>364</v>
      </c>
      <c r="H2043" s="5" t="s">
        <v>365</v>
      </c>
      <c r="I2043" s="5" t="s">
        <v>63</v>
      </c>
      <c r="J2043" s="5">
        <v>15.746143999999999</v>
      </c>
      <c r="K2043" s="5">
        <v>-96.465182999999996</v>
      </c>
      <c r="L2043" s="5" t="str">
        <f>HYPERLINK("https://maps.google.com/?q=15.746144,-96.465182999999996", "🔗 Ver Mapa")</f>
        <v>🔗 Ver Mapa</v>
      </c>
    </row>
    <row r="2044" spans="1:12" ht="43.5" x14ac:dyDescent="0.35">
      <c r="A2044" s="6" t="s">
        <v>359</v>
      </c>
      <c r="B2044" s="6" t="s">
        <v>360</v>
      </c>
      <c r="C2044" s="6" t="s">
        <v>371</v>
      </c>
      <c r="D2044" s="6" t="s">
        <v>31</v>
      </c>
      <c r="E2044" s="6" t="s">
        <v>362</v>
      </c>
      <c r="F2044" s="6" t="s">
        <v>363</v>
      </c>
      <c r="G2044" s="6" t="s">
        <v>364</v>
      </c>
      <c r="H2044" s="6" t="s">
        <v>365</v>
      </c>
      <c r="I2044" s="6" t="s">
        <v>63</v>
      </c>
      <c r="J2044" s="6">
        <v>16.237075999999998</v>
      </c>
      <c r="K2044" s="6">
        <v>-97.292351999999994</v>
      </c>
      <c r="L2044" s="6" t="str">
        <f>HYPERLINK("https://maps.google.com/?q=16.237076,-97.292351999999994", "🔗 Ver Mapa")</f>
        <v>🔗 Ver Mapa</v>
      </c>
    </row>
    <row r="2045" spans="1:12" ht="43.5" x14ac:dyDescent="0.35">
      <c r="A2045" s="5" t="s">
        <v>359</v>
      </c>
      <c r="B2045" s="5" t="s">
        <v>360</v>
      </c>
      <c r="C2045" s="5" t="s">
        <v>371</v>
      </c>
      <c r="D2045" s="5" t="s">
        <v>31</v>
      </c>
      <c r="E2045" s="5" t="s">
        <v>362</v>
      </c>
      <c r="F2045" s="5" t="s">
        <v>363</v>
      </c>
      <c r="G2045" s="5" t="s">
        <v>364</v>
      </c>
      <c r="H2045" s="5" t="s">
        <v>365</v>
      </c>
      <c r="I2045" s="5" t="s">
        <v>63</v>
      </c>
      <c r="J2045" s="5">
        <v>16.279057999999999</v>
      </c>
      <c r="K2045" s="5">
        <v>-97.820240999999996</v>
      </c>
      <c r="L2045" s="5" t="str">
        <f>HYPERLINK("https://maps.google.com/?q=16.279058,-97.820240999999996", "🔗 Ver Mapa")</f>
        <v>🔗 Ver Mapa</v>
      </c>
    </row>
    <row r="2046" spans="1:12" ht="43.5" x14ac:dyDescent="0.35">
      <c r="A2046" s="6" t="s">
        <v>359</v>
      </c>
      <c r="B2046" s="6" t="s">
        <v>360</v>
      </c>
      <c r="C2046" s="6" t="s">
        <v>371</v>
      </c>
      <c r="D2046" s="6" t="s">
        <v>31</v>
      </c>
      <c r="E2046" s="6" t="s">
        <v>362</v>
      </c>
      <c r="F2046" s="6" t="s">
        <v>363</v>
      </c>
      <c r="G2046" s="6" t="s">
        <v>364</v>
      </c>
      <c r="H2046" s="6" t="s">
        <v>365</v>
      </c>
      <c r="I2046" s="6" t="s">
        <v>63</v>
      </c>
      <c r="J2046" s="6">
        <v>16.328751</v>
      </c>
      <c r="K2046" s="6">
        <v>-96.596529000000004</v>
      </c>
      <c r="L2046" s="6" t="str">
        <f>HYPERLINK("https://maps.google.com/?q=16.328751,-96.596529000000004", "🔗 Ver Mapa")</f>
        <v>🔗 Ver Mapa</v>
      </c>
    </row>
    <row r="2047" spans="1:12" ht="43.5" x14ac:dyDescent="0.35">
      <c r="A2047" s="5" t="s">
        <v>359</v>
      </c>
      <c r="B2047" s="5" t="s">
        <v>360</v>
      </c>
      <c r="C2047" s="5" t="s">
        <v>371</v>
      </c>
      <c r="D2047" s="5" t="s">
        <v>31</v>
      </c>
      <c r="E2047" s="5" t="s">
        <v>362</v>
      </c>
      <c r="F2047" s="5" t="s">
        <v>363</v>
      </c>
      <c r="G2047" s="5" t="s">
        <v>364</v>
      </c>
      <c r="H2047" s="5" t="s">
        <v>365</v>
      </c>
      <c r="I2047" s="5" t="s">
        <v>63</v>
      </c>
      <c r="J2047" s="5">
        <v>16.332014000000001</v>
      </c>
      <c r="K2047" s="5">
        <v>-95.231966</v>
      </c>
      <c r="L2047" s="5" t="str">
        <f>HYPERLINK("https://maps.google.com/?q=16.332014,-95.231966", "🔗 Ver Mapa")</f>
        <v>🔗 Ver Mapa</v>
      </c>
    </row>
    <row r="2048" spans="1:12" ht="43.5" x14ac:dyDescent="0.35">
      <c r="A2048" s="6" t="s">
        <v>359</v>
      </c>
      <c r="B2048" s="6" t="s">
        <v>360</v>
      </c>
      <c r="C2048" s="6" t="s">
        <v>371</v>
      </c>
      <c r="D2048" s="6" t="s">
        <v>31</v>
      </c>
      <c r="E2048" s="6" t="s">
        <v>362</v>
      </c>
      <c r="F2048" s="6" t="s">
        <v>363</v>
      </c>
      <c r="G2048" s="6" t="s">
        <v>364</v>
      </c>
      <c r="H2048" s="6" t="s">
        <v>365</v>
      </c>
      <c r="I2048" s="6" t="s">
        <v>63</v>
      </c>
      <c r="J2048" s="6">
        <v>16.433347000000001</v>
      </c>
      <c r="K2048" s="6">
        <v>-95.021687</v>
      </c>
      <c r="L2048" s="6" t="str">
        <f>HYPERLINK("https://maps.google.com/?q=16.433347,-95.021687", "🔗 Ver Mapa")</f>
        <v>🔗 Ver Mapa</v>
      </c>
    </row>
    <row r="2049" spans="1:12" ht="43.5" x14ac:dyDescent="0.35">
      <c r="A2049" s="5" t="s">
        <v>359</v>
      </c>
      <c r="B2049" s="5" t="s">
        <v>360</v>
      </c>
      <c r="C2049" s="5" t="s">
        <v>371</v>
      </c>
      <c r="D2049" s="5" t="s">
        <v>31</v>
      </c>
      <c r="E2049" s="5" t="s">
        <v>362</v>
      </c>
      <c r="F2049" s="5" t="s">
        <v>363</v>
      </c>
      <c r="G2049" s="5" t="s">
        <v>364</v>
      </c>
      <c r="H2049" s="5" t="s">
        <v>365</v>
      </c>
      <c r="I2049" s="5" t="s">
        <v>63</v>
      </c>
      <c r="J2049" s="5">
        <v>16.500512000000001</v>
      </c>
      <c r="K2049" s="5">
        <v>-96.106790000000004</v>
      </c>
      <c r="L2049" s="5" t="str">
        <f>HYPERLINK("https://maps.google.com/?q=16.500512,-96.106790000000004", "🔗 Ver Mapa")</f>
        <v>🔗 Ver Mapa</v>
      </c>
    </row>
    <row r="2050" spans="1:12" ht="43.5" x14ac:dyDescent="0.35">
      <c r="A2050" s="6" t="s">
        <v>359</v>
      </c>
      <c r="B2050" s="6" t="s">
        <v>360</v>
      </c>
      <c r="C2050" s="6" t="s">
        <v>371</v>
      </c>
      <c r="D2050" s="6" t="s">
        <v>31</v>
      </c>
      <c r="E2050" s="6" t="s">
        <v>362</v>
      </c>
      <c r="F2050" s="6" t="s">
        <v>363</v>
      </c>
      <c r="G2050" s="6" t="s">
        <v>364</v>
      </c>
      <c r="H2050" s="6" t="s">
        <v>365</v>
      </c>
      <c r="I2050" s="6" t="s">
        <v>63</v>
      </c>
      <c r="J2050" s="6">
        <v>16.519807</v>
      </c>
      <c r="K2050" s="6">
        <v>-96.983885000000001</v>
      </c>
      <c r="L2050" s="6" t="str">
        <f>HYPERLINK("https://maps.google.com/?q=16.519807,-96.983885000000001", "🔗 Ver Mapa")</f>
        <v>🔗 Ver Mapa</v>
      </c>
    </row>
    <row r="2051" spans="1:12" ht="43.5" x14ac:dyDescent="0.35">
      <c r="A2051" s="5" t="s">
        <v>359</v>
      </c>
      <c r="B2051" s="5" t="s">
        <v>360</v>
      </c>
      <c r="C2051" s="5" t="s">
        <v>371</v>
      </c>
      <c r="D2051" s="5" t="s">
        <v>31</v>
      </c>
      <c r="E2051" s="5" t="s">
        <v>362</v>
      </c>
      <c r="F2051" s="5" t="s">
        <v>363</v>
      </c>
      <c r="G2051" s="5" t="s">
        <v>364</v>
      </c>
      <c r="H2051" s="5" t="s">
        <v>365</v>
      </c>
      <c r="I2051" s="5" t="s">
        <v>63</v>
      </c>
      <c r="J2051" s="5">
        <v>16.564243999999999</v>
      </c>
      <c r="K2051" s="5">
        <v>-96.731829000000005</v>
      </c>
      <c r="L2051" s="5" t="str">
        <f>HYPERLINK("https://maps.google.com/?q=16.564244,-96.731829000000005", "🔗 Ver Mapa")</f>
        <v>🔗 Ver Mapa</v>
      </c>
    </row>
    <row r="2052" spans="1:12" ht="43.5" x14ac:dyDescent="0.35">
      <c r="A2052" s="6" t="s">
        <v>359</v>
      </c>
      <c r="B2052" s="6" t="s">
        <v>360</v>
      </c>
      <c r="C2052" s="6" t="s">
        <v>371</v>
      </c>
      <c r="D2052" s="6" t="s">
        <v>31</v>
      </c>
      <c r="E2052" s="6" t="s">
        <v>362</v>
      </c>
      <c r="F2052" s="6" t="s">
        <v>363</v>
      </c>
      <c r="G2052" s="6" t="s">
        <v>364</v>
      </c>
      <c r="H2052" s="6" t="s">
        <v>365</v>
      </c>
      <c r="I2052" s="6" t="s">
        <v>63</v>
      </c>
      <c r="J2052" s="6">
        <v>16.791625</v>
      </c>
      <c r="K2052" s="6">
        <v>-96.674999</v>
      </c>
      <c r="L2052" s="6" t="str">
        <f>HYPERLINK("https://maps.google.com/?q=16.791625,-96.674999", "🔗 Ver Mapa")</f>
        <v>🔗 Ver Mapa</v>
      </c>
    </row>
    <row r="2053" spans="1:12" ht="43.5" x14ac:dyDescent="0.35">
      <c r="A2053" s="5" t="s">
        <v>359</v>
      </c>
      <c r="B2053" s="5" t="s">
        <v>360</v>
      </c>
      <c r="C2053" s="5" t="s">
        <v>371</v>
      </c>
      <c r="D2053" s="5" t="s">
        <v>31</v>
      </c>
      <c r="E2053" s="5" t="s">
        <v>362</v>
      </c>
      <c r="F2053" s="5" t="s">
        <v>363</v>
      </c>
      <c r="G2053" s="5" t="s">
        <v>364</v>
      </c>
      <c r="H2053" s="5" t="s">
        <v>365</v>
      </c>
      <c r="I2053" s="5" t="s">
        <v>63</v>
      </c>
      <c r="J2053" s="5">
        <v>16.866371000000001</v>
      </c>
      <c r="K2053" s="5">
        <v>-96.785623000000001</v>
      </c>
      <c r="L2053" s="5" t="str">
        <f>HYPERLINK("https://maps.google.com/?q=16.866371,-96.785623000000001", "🔗 Ver Mapa")</f>
        <v>🔗 Ver Mapa</v>
      </c>
    </row>
    <row r="2054" spans="1:12" ht="43.5" x14ac:dyDescent="0.35">
      <c r="A2054" s="6" t="s">
        <v>359</v>
      </c>
      <c r="B2054" s="6" t="s">
        <v>360</v>
      </c>
      <c r="C2054" s="6" t="s">
        <v>371</v>
      </c>
      <c r="D2054" s="6" t="s">
        <v>31</v>
      </c>
      <c r="E2054" s="6" t="s">
        <v>362</v>
      </c>
      <c r="F2054" s="6" t="s">
        <v>363</v>
      </c>
      <c r="G2054" s="6" t="s">
        <v>364</v>
      </c>
      <c r="H2054" s="6" t="s">
        <v>365</v>
      </c>
      <c r="I2054" s="6" t="s">
        <v>63</v>
      </c>
      <c r="J2054" s="6">
        <v>16.950706</v>
      </c>
      <c r="K2054" s="6">
        <v>-96.750504000000006</v>
      </c>
      <c r="L2054" s="6" t="str">
        <f>HYPERLINK("https://maps.google.com/?q=16.950706,-96.750504000000006", "🔗 Ver Mapa")</f>
        <v>🔗 Ver Mapa</v>
      </c>
    </row>
    <row r="2055" spans="1:12" ht="43.5" x14ac:dyDescent="0.35">
      <c r="A2055" s="5" t="s">
        <v>359</v>
      </c>
      <c r="B2055" s="5" t="s">
        <v>360</v>
      </c>
      <c r="C2055" s="5" t="s">
        <v>371</v>
      </c>
      <c r="D2055" s="5" t="s">
        <v>31</v>
      </c>
      <c r="E2055" s="5" t="s">
        <v>362</v>
      </c>
      <c r="F2055" s="5" t="s">
        <v>363</v>
      </c>
      <c r="G2055" s="5" t="s">
        <v>364</v>
      </c>
      <c r="H2055" s="5" t="s">
        <v>365</v>
      </c>
      <c r="I2055" s="5" t="s">
        <v>63</v>
      </c>
      <c r="J2055" s="5">
        <v>16.955580000000001</v>
      </c>
      <c r="K2055" s="5">
        <v>-96.479206000000005</v>
      </c>
      <c r="L2055" s="5" t="str">
        <f>HYPERLINK("https://maps.google.com/?q=16.95558,-96.479206000000005", "🔗 Ver Mapa")</f>
        <v>🔗 Ver Mapa</v>
      </c>
    </row>
    <row r="2056" spans="1:12" ht="43.5" x14ac:dyDescent="0.35">
      <c r="A2056" s="6" t="s">
        <v>359</v>
      </c>
      <c r="B2056" s="6" t="s">
        <v>360</v>
      </c>
      <c r="C2056" s="6" t="s">
        <v>371</v>
      </c>
      <c r="D2056" s="6" t="s">
        <v>31</v>
      </c>
      <c r="E2056" s="6" t="s">
        <v>362</v>
      </c>
      <c r="F2056" s="6" t="s">
        <v>363</v>
      </c>
      <c r="G2056" s="6" t="s">
        <v>364</v>
      </c>
      <c r="H2056" s="6" t="s">
        <v>365</v>
      </c>
      <c r="I2056" s="6" t="s">
        <v>63</v>
      </c>
      <c r="J2056" s="6">
        <v>17.026216000000002</v>
      </c>
      <c r="K2056" s="6">
        <v>-97.928115000000005</v>
      </c>
      <c r="L2056" s="6" t="str">
        <f>HYPERLINK("https://maps.google.com/?q=17.026216,-97.928115000000005", "🔗 Ver Mapa")</f>
        <v>🔗 Ver Mapa</v>
      </c>
    </row>
    <row r="2057" spans="1:12" ht="43.5" x14ac:dyDescent="0.35">
      <c r="A2057" s="5" t="s">
        <v>359</v>
      </c>
      <c r="B2057" s="5" t="s">
        <v>360</v>
      </c>
      <c r="C2057" s="5" t="s">
        <v>371</v>
      </c>
      <c r="D2057" s="5" t="s">
        <v>31</v>
      </c>
      <c r="E2057" s="5" t="s">
        <v>362</v>
      </c>
      <c r="F2057" s="5" t="s">
        <v>363</v>
      </c>
      <c r="G2057" s="5" t="s">
        <v>364</v>
      </c>
      <c r="H2057" s="5" t="s">
        <v>365</v>
      </c>
      <c r="I2057" s="5" t="s">
        <v>63</v>
      </c>
      <c r="J2057" s="5">
        <v>17.027131000000001</v>
      </c>
      <c r="K2057" s="5">
        <v>-96.077044000000001</v>
      </c>
      <c r="L2057" s="5" t="str">
        <f>HYPERLINK("https://maps.google.com/?q=17.027131,-96.077044000000001", "🔗 Ver Mapa")</f>
        <v>🔗 Ver Mapa</v>
      </c>
    </row>
    <row r="2058" spans="1:12" ht="43.5" x14ac:dyDescent="0.35">
      <c r="A2058" s="6" t="s">
        <v>359</v>
      </c>
      <c r="B2058" s="6" t="s">
        <v>360</v>
      </c>
      <c r="C2058" s="6" t="s">
        <v>371</v>
      </c>
      <c r="D2058" s="6" t="s">
        <v>31</v>
      </c>
      <c r="E2058" s="6" t="s">
        <v>362</v>
      </c>
      <c r="F2058" s="6" t="s">
        <v>363</v>
      </c>
      <c r="G2058" s="6" t="s">
        <v>364</v>
      </c>
      <c r="H2058" s="6" t="s">
        <v>365</v>
      </c>
      <c r="I2058" s="6" t="s">
        <v>63</v>
      </c>
      <c r="J2058" s="6">
        <v>17.063777999999999</v>
      </c>
      <c r="K2058" s="6">
        <v>-96.729971000000006</v>
      </c>
      <c r="L2058" s="6" t="str">
        <f>HYPERLINK("https://maps.google.com/?q=17.063778,-96.729971000000006", "🔗 Ver Mapa")</f>
        <v>🔗 Ver Mapa</v>
      </c>
    </row>
    <row r="2059" spans="1:12" ht="43.5" x14ac:dyDescent="0.35">
      <c r="A2059" s="5" t="s">
        <v>359</v>
      </c>
      <c r="B2059" s="5" t="s">
        <v>360</v>
      </c>
      <c r="C2059" s="5" t="s">
        <v>371</v>
      </c>
      <c r="D2059" s="5" t="s">
        <v>31</v>
      </c>
      <c r="E2059" s="5" t="s">
        <v>362</v>
      </c>
      <c r="F2059" s="5" t="s">
        <v>363</v>
      </c>
      <c r="G2059" s="5" t="s">
        <v>364</v>
      </c>
      <c r="H2059" s="5" t="s">
        <v>365</v>
      </c>
      <c r="I2059" s="5" t="s">
        <v>63</v>
      </c>
      <c r="J2059" s="5">
        <v>17.207464000000002</v>
      </c>
      <c r="K2059" s="5">
        <v>-96.801094000000006</v>
      </c>
      <c r="L2059" s="5" t="str">
        <f>HYPERLINK("https://maps.google.com/?q=17.207464,-96.801094000000006", "🔗 Ver Mapa")</f>
        <v>🔗 Ver Mapa</v>
      </c>
    </row>
    <row r="2060" spans="1:12" ht="43.5" x14ac:dyDescent="0.35">
      <c r="A2060" s="6" t="s">
        <v>359</v>
      </c>
      <c r="B2060" s="6" t="s">
        <v>360</v>
      </c>
      <c r="C2060" s="6" t="s">
        <v>371</v>
      </c>
      <c r="D2060" s="6" t="s">
        <v>31</v>
      </c>
      <c r="E2060" s="6" t="s">
        <v>362</v>
      </c>
      <c r="F2060" s="6" t="s">
        <v>363</v>
      </c>
      <c r="G2060" s="6" t="s">
        <v>364</v>
      </c>
      <c r="H2060" s="6" t="s">
        <v>365</v>
      </c>
      <c r="I2060" s="6" t="s">
        <v>63</v>
      </c>
      <c r="J2060" s="6">
        <v>17.267448999999999</v>
      </c>
      <c r="K2060" s="6">
        <v>-97.680485000000004</v>
      </c>
      <c r="L2060" s="6" t="str">
        <f>HYPERLINK("https://maps.google.com/?q=17.267449,-97.680485000000004", "🔗 Ver Mapa")</f>
        <v>🔗 Ver Mapa</v>
      </c>
    </row>
    <row r="2061" spans="1:12" ht="43.5" x14ac:dyDescent="0.35">
      <c r="A2061" s="5" t="s">
        <v>359</v>
      </c>
      <c r="B2061" s="5" t="s">
        <v>360</v>
      </c>
      <c r="C2061" s="5" t="s">
        <v>371</v>
      </c>
      <c r="D2061" s="5" t="s">
        <v>31</v>
      </c>
      <c r="E2061" s="5" t="s">
        <v>362</v>
      </c>
      <c r="F2061" s="5" t="s">
        <v>363</v>
      </c>
      <c r="G2061" s="5" t="s">
        <v>364</v>
      </c>
      <c r="H2061" s="5" t="s">
        <v>365</v>
      </c>
      <c r="I2061" s="5" t="s">
        <v>63</v>
      </c>
      <c r="J2061" s="5">
        <v>17.331247999999999</v>
      </c>
      <c r="K2061" s="5">
        <v>-96.487900999999994</v>
      </c>
      <c r="L2061" s="5" t="str">
        <f>HYPERLINK("https://maps.google.com/?q=17.331248,-96.487900999999994", "🔗 Ver Mapa")</f>
        <v>🔗 Ver Mapa</v>
      </c>
    </row>
    <row r="2062" spans="1:12" ht="43.5" x14ac:dyDescent="0.35">
      <c r="A2062" s="6" t="s">
        <v>359</v>
      </c>
      <c r="B2062" s="6" t="s">
        <v>360</v>
      </c>
      <c r="C2062" s="6" t="s">
        <v>371</v>
      </c>
      <c r="D2062" s="6" t="s">
        <v>31</v>
      </c>
      <c r="E2062" s="6" t="s">
        <v>362</v>
      </c>
      <c r="F2062" s="6" t="s">
        <v>363</v>
      </c>
      <c r="G2062" s="6" t="s">
        <v>364</v>
      </c>
      <c r="H2062" s="6" t="s">
        <v>365</v>
      </c>
      <c r="I2062" s="6" t="s">
        <v>63</v>
      </c>
      <c r="J2062" s="6">
        <v>17.335315999999999</v>
      </c>
      <c r="K2062" s="6">
        <v>-98.012051</v>
      </c>
      <c r="L2062" s="6" t="str">
        <f>HYPERLINK("https://maps.google.com/?q=17.335316,-98.012051", "🔗 Ver Mapa")</f>
        <v>🔗 Ver Mapa</v>
      </c>
    </row>
    <row r="2063" spans="1:12" ht="43.5" x14ac:dyDescent="0.35">
      <c r="A2063" s="5" t="s">
        <v>359</v>
      </c>
      <c r="B2063" s="5" t="s">
        <v>360</v>
      </c>
      <c r="C2063" s="5" t="s">
        <v>371</v>
      </c>
      <c r="D2063" s="5" t="s">
        <v>31</v>
      </c>
      <c r="E2063" s="5" t="s">
        <v>362</v>
      </c>
      <c r="F2063" s="5" t="s">
        <v>363</v>
      </c>
      <c r="G2063" s="5" t="s">
        <v>364</v>
      </c>
      <c r="H2063" s="5" t="s">
        <v>365</v>
      </c>
      <c r="I2063" s="5" t="s">
        <v>63</v>
      </c>
      <c r="J2063" s="5">
        <v>17.338730000000002</v>
      </c>
      <c r="K2063" s="5">
        <v>-96.152553999999995</v>
      </c>
      <c r="L2063" s="5" t="str">
        <f>HYPERLINK("https://maps.google.com/?q=17.33873,-96.152553999999995", "🔗 Ver Mapa")</f>
        <v>🔗 Ver Mapa</v>
      </c>
    </row>
    <row r="2064" spans="1:12" ht="43.5" x14ac:dyDescent="0.35">
      <c r="A2064" s="6" t="s">
        <v>359</v>
      </c>
      <c r="B2064" s="6" t="s">
        <v>360</v>
      </c>
      <c r="C2064" s="6" t="s">
        <v>371</v>
      </c>
      <c r="D2064" s="6" t="s">
        <v>31</v>
      </c>
      <c r="E2064" s="6" t="s">
        <v>362</v>
      </c>
      <c r="F2064" s="6" t="s">
        <v>363</v>
      </c>
      <c r="G2064" s="6" t="s">
        <v>364</v>
      </c>
      <c r="H2064" s="6" t="s">
        <v>365</v>
      </c>
      <c r="I2064" s="6" t="s">
        <v>63</v>
      </c>
      <c r="J2064" s="6">
        <v>17.361765999999999</v>
      </c>
      <c r="K2064" s="6">
        <v>-95.922253999999995</v>
      </c>
      <c r="L2064" s="6" t="str">
        <f>HYPERLINK("https://maps.google.com/?q=17.361766,-95.922253999999995", "🔗 Ver Mapa")</f>
        <v>🔗 Ver Mapa</v>
      </c>
    </row>
    <row r="2065" spans="1:12" ht="43.5" x14ac:dyDescent="0.35">
      <c r="A2065" s="5" t="s">
        <v>359</v>
      </c>
      <c r="B2065" s="5" t="s">
        <v>360</v>
      </c>
      <c r="C2065" s="5" t="s">
        <v>371</v>
      </c>
      <c r="D2065" s="5" t="s">
        <v>31</v>
      </c>
      <c r="E2065" s="5" t="s">
        <v>362</v>
      </c>
      <c r="F2065" s="5" t="s">
        <v>363</v>
      </c>
      <c r="G2065" s="5" t="s">
        <v>364</v>
      </c>
      <c r="H2065" s="5" t="s">
        <v>365</v>
      </c>
      <c r="I2065" s="5" t="s">
        <v>63</v>
      </c>
      <c r="J2065" s="5">
        <v>17.458341000000001</v>
      </c>
      <c r="K2065" s="5">
        <v>-97.225285</v>
      </c>
      <c r="L2065" s="5" t="str">
        <f>HYPERLINK("https://maps.google.com/?q=17.458341,-97.225285", "🔗 Ver Mapa")</f>
        <v>🔗 Ver Mapa</v>
      </c>
    </row>
    <row r="2066" spans="1:12" ht="43.5" x14ac:dyDescent="0.35">
      <c r="A2066" s="6" t="s">
        <v>359</v>
      </c>
      <c r="B2066" s="6" t="s">
        <v>360</v>
      </c>
      <c r="C2066" s="6" t="s">
        <v>371</v>
      </c>
      <c r="D2066" s="6" t="s">
        <v>31</v>
      </c>
      <c r="E2066" s="6" t="s">
        <v>362</v>
      </c>
      <c r="F2066" s="6" t="s">
        <v>363</v>
      </c>
      <c r="G2066" s="6" t="s">
        <v>364</v>
      </c>
      <c r="H2066" s="6" t="s">
        <v>365</v>
      </c>
      <c r="I2066" s="6" t="s">
        <v>63</v>
      </c>
      <c r="J2066" s="6">
        <v>17.501442000000001</v>
      </c>
      <c r="K2066" s="6">
        <v>-98.142583999999999</v>
      </c>
      <c r="L2066" s="6" t="str">
        <f>HYPERLINK("https://maps.google.com/?q=17.501442,-98.142583999999999", "🔗 Ver Mapa")</f>
        <v>🔗 Ver Mapa</v>
      </c>
    </row>
    <row r="2067" spans="1:12" ht="43.5" x14ac:dyDescent="0.35">
      <c r="A2067" s="5" t="s">
        <v>359</v>
      </c>
      <c r="B2067" s="5" t="s">
        <v>360</v>
      </c>
      <c r="C2067" s="5" t="s">
        <v>371</v>
      </c>
      <c r="D2067" s="5" t="s">
        <v>31</v>
      </c>
      <c r="E2067" s="5" t="s">
        <v>362</v>
      </c>
      <c r="F2067" s="5" t="s">
        <v>363</v>
      </c>
      <c r="G2067" s="5" t="s">
        <v>364</v>
      </c>
      <c r="H2067" s="5" t="s">
        <v>365</v>
      </c>
      <c r="I2067" s="5" t="s">
        <v>63</v>
      </c>
      <c r="J2067" s="5">
        <v>17.511838000000001</v>
      </c>
      <c r="K2067" s="5">
        <v>-97.488547999999994</v>
      </c>
      <c r="L2067" s="5" t="str">
        <f>HYPERLINK("https://maps.google.com/?q=17.511838,-97.488547999999994", "🔗 Ver Mapa")</f>
        <v>🔗 Ver Mapa</v>
      </c>
    </row>
    <row r="2068" spans="1:12" ht="43.5" x14ac:dyDescent="0.35">
      <c r="A2068" s="6" t="s">
        <v>359</v>
      </c>
      <c r="B2068" s="6" t="s">
        <v>360</v>
      </c>
      <c r="C2068" s="6" t="s">
        <v>371</v>
      </c>
      <c r="D2068" s="6" t="s">
        <v>31</v>
      </c>
      <c r="E2068" s="6" t="s">
        <v>362</v>
      </c>
      <c r="F2068" s="6" t="s">
        <v>363</v>
      </c>
      <c r="G2068" s="6" t="s">
        <v>364</v>
      </c>
      <c r="H2068" s="6" t="s">
        <v>365</v>
      </c>
      <c r="I2068" s="6" t="s">
        <v>63</v>
      </c>
      <c r="J2068" s="6">
        <v>17.724615</v>
      </c>
      <c r="K2068" s="6">
        <v>-97.323898</v>
      </c>
      <c r="L2068" s="6" t="str">
        <f>HYPERLINK("https://maps.google.com/?q=17.724615,-97.323898", "🔗 Ver Mapa")</f>
        <v>🔗 Ver Mapa</v>
      </c>
    </row>
    <row r="2069" spans="1:12" ht="43.5" x14ac:dyDescent="0.35">
      <c r="A2069" s="5" t="s">
        <v>359</v>
      </c>
      <c r="B2069" s="5" t="s">
        <v>360</v>
      </c>
      <c r="C2069" s="5" t="s">
        <v>371</v>
      </c>
      <c r="D2069" s="5" t="s">
        <v>31</v>
      </c>
      <c r="E2069" s="5" t="s">
        <v>362</v>
      </c>
      <c r="F2069" s="5" t="s">
        <v>363</v>
      </c>
      <c r="G2069" s="5" t="s">
        <v>364</v>
      </c>
      <c r="H2069" s="5" t="s">
        <v>365</v>
      </c>
      <c r="I2069" s="5" t="s">
        <v>63</v>
      </c>
      <c r="J2069" s="5">
        <v>17.801687000000001</v>
      </c>
      <c r="K2069" s="5">
        <v>-96.959688</v>
      </c>
      <c r="L2069" s="5" t="str">
        <f>HYPERLINK("https://maps.google.com/?q=17.801687,-96.959688", "🔗 Ver Mapa")</f>
        <v>🔗 Ver Mapa</v>
      </c>
    </row>
    <row r="2070" spans="1:12" ht="43.5" x14ac:dyDescent="0.35">
      <c r="A2070" s="6" t="s">
        <v>359</v>
      </c>
      <c r="B2070" s="6" t="s">
        <v>360</v>
      </c>
      <c r="C2070" s="6" t="s">
        <v>371</v>
      </c>
      <c r="D2070" s="6" t="s">
        <v>31</v>
      </c>
      <c r="E2070" s="6" t="s">
        <v>362</v>
      </c>
      <c r="F2070" s="6" t="s">
        <v>363</v>
      </c>
      <c r="G2070" s="6" t="s">
        <v>364</v>
      </c>
      <c r="H2070" s="6" t="s">
        <v>365</v>
      </c>
      <c r="I2070" s="6" t="s">
        <v>63</v>
      </c>
      <c r="J2070" s="6">
        <v>17.806621</v>
      </c>
      <c r="K2070" s="6">
        <v>-97.776161999999999</v>
      </c>
      <c r="L2070" s="6" t="str">
        <f>HYPERLINK("https://maps.google.com/?q=17.806621,-97.776161999999999", "🔗 Ver Mapa")</f>
        <v>🔗 Ver Mapa</v>
      </c>
    </row>
    <row r="2071" spans="1:12" ht="43.5" x14ac:dyDescent="0.35">
      <c r="A2071" s="5" t="s">
        <v>359</v>
      </c>
      <c r="B2071" s="5" t="s">
        <v>360</v>
      </c>
      <c r="C2071" s="5" t="s">
        <v>371</v>
      </c>
      <c r="D2071" s="5" t="s">
        <v>31</v>
      </c>
      <c r="E2071" s="5" t="s">
        <v>362</v>
      </c>
      <c r="F2071" s="5" t="s">
        <v>363</v>
      </c>
      <c r="G2071" s="5" t="s">
        <v>364</v>
      </c>
      <c r="H2071" s="5" t="s">
        <v>365</v>
      </c>
      <c r="I2071" s="5" t="s">
        <v>63</v>
      </c>
      <c r="J2071" s="5">
        <v>18.081168999999999</v>
      </c>
      <c r="K2071" s="5">
        <v>-96.118475000000004</v>
      </c>
      <c r="L2071" s="5" t="str">
        <f>HYPERLINK("https://maps.google.com/?q=18.081169,-96.118475000000004", "🔗 Ver Mapa")</f>
        <v>🔗 Ver Mapa</v>
      </c>
    </row>
    <row r="2072" spans="1:12" ht="43.5" x14ac:dyDescent="0.35">
      <c r="A2072" s="6" t="s">
        <v>359</v>
      </c>
      <c r="B2072" s="6" t="s">
        <v>360</v>
      </c>
      <c r="C2072" s="6" t="s">
        <v>371</v>
      </c>
      <c r="D2072" s="6" t="s">
        <v>31</v>
      </c>
      <c r="E2072" s="6" t="s">
        <v>362</v>
      </c>
      <c r="F2072" s="6" t="s">
        <v>363</v>
      </c>
      <c r="G2072" s="6" t="s">
        <v>364</v>
      </c>
      <c r="H2072" s="6" t="s">
        <v>365</v>
      </c>
      <c r="I2072" s="6" t="s">
        <v>63</v>
      </c>
      <c r="J2072" s="6">
        <v>18.13222</v>
      </c>
      <c r="K2072" s="6">
        <v>-97.070751000000001</v>
      </c>
      <c r="L2072" s="6" t="str">
        <f>HYPERLINK("https://maps.google.com/?q=18.13222,-97.070751000000001", "🔗 Ver Mapa")</f>
        <v>🔗 Ver Mapa</v>
      </c>
    </row>
    <row r="2073" spans="1:12" ht="43.5" x14ac:dyDescent="0.35">
      <c r="A2073" s="5" t="s">
        <v>359</v>
      </c>
      <c r="B2073" s="5" t="s">
        <v>360</v>
      </c>
      <c r="C2073" s="5" t="s">
        <v>372</v>
      </c>
      <c r="D2073" s="5" t="s">
        <v>31</v>
      </c>
      <c r="E2073" s="5" t="s">
        <v>362</v>
      </c>
      <c r="F2073" s="5" t="s">
        <v>363</v>
      </c>
      <c r="G2073" s="5" t="s">
        <v>364</v>
      </c>
      <c r="H2073" s="5" t="s">
        <v>365</v>
      </c>
      <c r="I2073" s="5" t="s">
        <v>63</v>
      </c>
      <c r="J2073" s="5">
        <v>15.746143999999999</v>
      </c>
      <c r="K2073" s="5">
        <v>-96.465182999999996</v>
      </c>
      <c r="L2073" s="5" t="str">
        <f>HYPERLINK("https://maps.google.com/?q=15.746144,-96.465182999999996", "🔗 Ver Mapa")</f>
        <v>🔗 Ver Mapa</v>
      </c>
    </row>
    <row r="2074" spans="1:12" ht="43.5" x14ac:dyDescent="0.35">
      <c r="A2074" s="6" t="s">
        <v>359</v>
      </c>
      <c r="B2074" s="6" t="s">
        <v>360</v>
      </c>
      <c r="C2074" s="6" t="s">
        <v>372</v>
      </c>
      <c r="D2074" s="6" t="s">
        <v>31</v>
      </c>
      <c r="E2074" s="6" t="s">
        <v>362</v>
      </c>
      <c r="F2074" s="6" t="s">
        <v>363</v>
      </c>
      <c r="G2074" s="6" t="s">
        <v>364</v>
      </c>
      <c r="H2074" s="6" t="s">
        <v>365</v>
      </c>
      <c r="I2074" s="6" t="s">
        <v>63</v>
      </c>
      <c r="J2074" s="6">
        <v>16.237075999999998</v>
      </c>
      <c r="K2074" s="6">
        <v>-97.292351999999994</v>
      </c>
      <c r="L2074" s="6" t="str">
        <f>HYPERLINK("https://maps.google.com/?q=16.237076,-97.292351999999994", "🔗 Ver Mapa")</f>
        <v>🔗 Ver Mapa</v>
      </c>
    </row>
    <row r="2075" spans="1:12" ht="43.5" x14ac:dyDescent="0.35">
      <c r="A2075" s="5" t="s">
        <v>359</v>
      </c>
      <c r="B2075" s="5" t="s">
        <v>360</v>
      </c>
      <c r="C2075" s="5" t="s">
        <v>372</v>
      </c>
      <c r="D2075" s="5" t="s">
        <v>31</v>
      </c>
      <c r="E2075" s="5" t="s">
        <v>362</v>
      </c>
      <c r="F2075" s="5" t="s">
        <v>363</v>
      </c>
      <c r="G2075" s="5" t="s">
        <v>364</v>
      </c>
      <c r="H2075" s="5" t="s">
        <v>365</v>
      </c>
      <c r="I2075" s="5" t="s">
        <v>63</v>
      </c>
      <c r="J2075" s="5">
        <v>16.279057999999999</v>
      </c>
      <c r="K2075" s="5">
        <v>-97.820240999999996</v>
      </c>
      <c r="L2075" s="5" t="str">
        <f>HYPERLINK("https://maps.google.com/?q=16.279058,-97.820240999999996", "🔗 Ver Mapa")</f>
        <v>🔗 Ver Mapa</v>
      </c>
    </row>
    <row r="2076" spans="1:12" ht="43.5" x14ac:dyDescent="0.35">
      <c r="A2076" s="6" t="s">
        <v>359</v>
      </c>
      <c r="B2076" s="6" t="s">
        <v>360</v>
      </c>
      <c r="C2076" s="6" t="s">
        <v>372</v>
      </c>
      <c r="D2076" s="6" t="s">
        <v>31</v>
      </c>
      <c r="E2076" s="6" t="s">
        <v>362</v>
      </c>
      <c r="F2076" s="6" t="s">
        <v>363</v>
      </c>
      <c r="G2076" s="6" t="s">
        <v>364</v>
      </c>
      <c r="H2076" s="6" t="s">
        <v>365</v>
      </c>
      <c r="I2076" s="6" t="s">
        <v>63</v>
      </c>
      <c r="J2076" s="6">
        <v>16.328751</v>
      </c>
      <c r="K2076" s="6">
        <v>-96.596529000000004</v>
      </c>
      <c r="L2076" s="6" t="str">
        <f>HYPERLINK("https://maps.google.com/?q=16.328751,-96.596529000000004", "🔗 Ver Mapa")</f>
        <v>🔗 Ver Mapa</v>
      </c>
    </row>
    <row r="2077" spans="1:12" ht="43.5" x14ac:dyDescent="0.35">
      <c r="A2077" s="5" t="s">
        <v>359</v>
      </c>
      <c r="B2077" s="5" t="s">
        <v>360</v>
      </c>
      <c r="C2077" s="5" t="s">
        <v>372</v>
      </c>
      <c r="D2077" s="5" t="s">
        <v>31</v>
      </c>
      <c r="E2077" s="5" t="s">
        <v>362</v>
      </c>
      <c r="F2077" s="5" t="s">
        <v>363</v>
      </c>
      <c r="G2077" s="5" t="s">
        <v>364</v>
      </c>
      <c r="H2077" s="5" t="s">
        <v>365</v>
      </c>
      <c r="I2077" s="5" t="s">
        <v>63</v>
      </c>
      <c r="J2077" s="5">
        <v>16.332014000000001</v>
      </c>
      <c r="K2077" s="5">
        <v>-95.231966</v>
      </c>
      <c r="L2077" s="5" t="str">
        <f>HYPERLINK("https://maps.google.com/?q=16.332014,-95.231966", "🔗 Ver Mapa")</f>
        <v>🔗 Ver Mapa</v>
      </c>
    </row>
    <row r="2078" spans="1:12" ht="43.5" x14ac:dyDescent="0.35">
      <c r="A2078" s="6" t="s">
        <v>359</v>
      </c>
      <c r="B2078" s="6" t="s">
        <v>360</v>
      </c>
      <c r="C2078" s="6" t="s">
        <v>372</v>
      </c>
      <c r="D2078" s="6" t="s">
        <v>31</v>
      </c>
      <c r="E2078" s="6" t="s">
        <v>362</v>
      </c>
      <c r="F2078" s="6" t="s">
        <v>363</v>
      </c>
      <c r="G2078" s="6" t="s">
        <v>364</v>
      </c>
      <c r="H2078" s="6" t="s">
        <v>365</v>
      </c>
      <c r="I2078" s="6" t="s">
        <v>63</v>
      </c>
      <c r="J2078" s="6">
        <v>16.433347000000001</v>
      </c>
      <c r="K2078" s="6">
        <v>-95.021687</v>
      </c>
      <c r="L2078" s="6" t="str">
        <f>HYPERLINK("https://maps.google.com/?q=16.433347,-95.021687", "🔗 Ver Mapa")</f>
        <v>🔗 Ver Mapa</v>
      </c>
    </row>
    <row r="2079" spans="1:12" ht="43.5" x14ac:dyDescent="0.35">
      <c r="A2079" s="5" t="s">
        <v>359</v>
      </c>
      <c r="B2079" s="5" t="s">
        <v>360</v>
      </c>
      <c r="C2079" s="5" t="s">
        <v>372</v>
      </c>
      <c r="D2079" s="5" t="s">
        <v>31</v>
      </c>
      <c r="E2079" s="5" t="s">
        <v>362</v>
      </c>
      <c r="F2079" s="5" t="s">
        <v>363</v>
      </c>
      <c r="G2079" s="5" t="s">
        <v>364</v>
      </c>
      <c r="H2079" s="5" t="s">
        <v>365</v>
      </c>
      <c r="I2079" s="5" t="s">
        <v>63</v>
      </c>
      <c r="J2079" s="5">
        <v>16.500512000000001</v>
      </c>
      <c r="K2079" s="5">
        <v>-96.106790000000004</v>
      </c>
      <c r="L2079" s="5" t="str">
        <f>HYPERLINK("https://maps.google.com/?q=16.500512,-96.106790000000004", "🔗 Ver Mapa")</f>
        <v>🔗 Ver Mapa</v>
      </c>
    </row>
    <row r="2080" spans="1:12" ht="43.5" x14ac:dyDescent="0.35">
      <c r="A2080" s="6" t="s">
        <v>359</v>
      </c>
      <c r="B2080" s="6" t="s">
        <v>360</v>
      </c>
      <c r="C2080" s="6" t="s">
        <v>372</v>
      </c>
      <c r="D2080" s="6" t="s">
        <v>31</v>
      </c>
      <c r="E2080" s="6" t="s">
        <v>362</v>
      </c>
      <c r="F2080" s="6" t="s">
        <v>363</v>
      </c>
      <c r="G2080" s="6" t="s">
        <v>364</v>
      </c>
      <c r="H2080" s="6" t="s">
        <v>365</v>
      </c>
      <c r="I2080" s="6" t="s">
        <v>63</v>
      </c>
      <c r="J2080" s="6">
        <v>16.519807</v>
      </c>
      <c r="K2080" s="6">
        <v>-96.983885000000001</v>
      </c>
      <c r="L2080" s="6" t="str">
        <f>HYPERLINK("https://maps.google.com/?q=16.519807,-96.983885000000001", "🔗 Ver Mapa")</f>
        <v>🔗 Ver Mapa</v>
      </c>
    </row>
    <row r="2081" spans="1:12" ht="43.5" x14ac:dyDescent="0.35">
      <c r="A2081" s="5" t="s">
        <v>359</v>
      </c>
      <c r="B2081" s="5" t="s">
        <v>360</v>
      </c>
      <c r="C2081" s="5" t="s">
        <v>372</v>
      </c>
      <c r="D2081" s="5" t="s">
        <v>31</v>
      </c>
      <c r="E2081" s="5" t="s">
        <v>362</v>
      </c>
      <c r="F2081" s="5" t="s">
        <v>363</v>
      </c>
      <c r="G2081" s="5" t="s">
        <v>364</v>
      </c>
      <c r="H2081" s="5" t="s">
        <v>365</v>
      </c>
      <c r="I2081" s="5" t="s">
        <v>63</v>
      </c>
      <c r="J2081" s="5">
        <v>16.564243999999999</v>
      </c>
      <c r="K2081" s="5">
        <v>-96.731829000000005</v>
      </c>
      <c r="L2081" s="5" t="str">
        <f>HYPERLINK("https://maps.google.com/?q=16.564244,-96.731829000000005", "🔗 Ver Mapa")</f>
        <v>🔗 Ver Mapa</v>
      </c>
    </row>
    <row r="2082" spans="1:12" ht="43.5" x14ac:dyDescent="0.35">
      <c r="A2082" s="6" t="s">
        <v>359</v>
      </c>
      <c r="B2082" s="6" t="s">
        <v>360</v>
      </c>
      <c r="C2082" s="6" t="s">
        <v>372</v>
      </c>
      <c r="D2082" s="6" t="s">
        <v>31</v>
      </c>
      <c r="E2082" s="6" t="s">
        <v>362</v>
      </c>
      <c r="F2082" s="6" t="s">
        <v>363</v>
      </c>
      <c r="G2082" s="6" t="s">
        <v>364</v>
      </c>
      <c r="H2082" s="6" t="s">
        <v>365</v>
      </c>
      <c r="I2082" s="6" t="s">
        <v>63</v>
      </c>
      <c r="J2082" s="6">
        <v>16.791625</v>
      </c>
      <c r="K2082" s="6">
        <v>-96.674999</v>
      </c>
      <c r="L2082" s="6" t="str">
        <f>HYPERLINK("https://maps.google.com/?q=16.791625,-96.674999", "🔗 Ver Mapa")</f>
        <v>🔗 Ver Mapa</v>
      </c>
    </row>
    <row r="2083" spans="1:12" ht="43.5" x14ac:dyDescent="0.35">
      <c r="A2083" s="5" t="s">
        <v>359</v>
      </c>
      <c r="B2083" s="5" t="s">
        <v>360</v>
      </c>
      <c r="C2083" s="5" t="s">
        <v>372</v>
      </c>
      <c r="D2083" s="5" t="s">
        <v>31</v>
      </c>
      <c r="E2083" s="5" t="s">
        <v>362</v>
      </c>
      <c r="F2083" s="5" t="s">
        <v>363</v>
      </c>
      <c r="G2083" s="5" t="s">
        <v>364</v>
      </c>
      <c r="H2083" s="5" t="s">
        <v>365</v>
      </c>
      <c r="I2083" s="5" t="s">
        <v>63</v>
      </c>
      <c r="J2083" s="5">
        <v>16.866371000000001</v>
      </c>
      <c r="K2083" s="5">
        <v>-96.785623000000001</v>
      </c>
      <c r="L2083" s="5" t="str">
        <f>HYPERLINK("https://maps.google.com/?q=16.866371,-96.785623000000001", "🔗 Ver Mapa")</f>
        <v>🔗 Ver Mapa</v>
      </c>
    </row>
    <row r="2084" spans="1:12" ht="43.5" x14ac:dyDescent="0.35">
      <c r="A2084" s="6" t="s">
        <v>359</v>
      </c>
      <c r="B2084" s="6" t="s">
        <v>360</v>
      </c>
      <c r="C2084" s="6" t="s">
        <v>372</v>
      </c>
      <c r="D2084" s="6" t="s">
        <v>31</v>
      </c>
      <c r="E2084" s="6" t="s">
        <v>362</v>
      </c>
      <c r="F2084" s="6" t="s">
        <v>363</v>
      </c>
      <c r="G2084" s="6" t="s">
        <v>364</v>
      </c>
      <c r="H2084" s="6" t="s">
        <v>365</v>
      </c>
      <c r="I2084" s="6" t="s">
        <v>63</v>
      </c>
      <c r="J2084" s="6">
        <v>16.950706</v>
      </c>
      <c r="K2084" s="6">
        <v>-96.750504000000006</v>
      </c>
      <c r="L2084" s="6" t="str">
        <f>HYPERLINK("https://maps.google.com/?q=16.950706,-96.750504000000006", "🔗 Ver Mapa")</f>
        <v>🔗 Ver Mapa</v>
      </c>
    </row>
    <row r="2085" spans="1:12" ht="43.5" x14ac:dyDescent="0.35">
      <c r="A2085" s="5" t="s">
        <v>359</v>
      </c>
      <c r="B2085" s="5" t="s">
        <v>360</v>
      </c>
      <c r="C2085" s="5" t="s">
        <v>372</v>
      </c>
      <c r="D2085" s="5" t="s">
        <v>31</v>
      </c>
      <c r="E2085" s="5" t="s">
        <v>362</v>
      </c>
      <c r="F2085" s="5" t="s">
        <v>363</v>
      </c>
      <c r="G2085" s="5" t="s">
        <v>364</v>
      </c>
      <c r="H2085" s="5" t="s">
        <v>365</v>
      </c>
      <c r="I2085" s="5" t="s">
        <v>63</v>
      </c>
      <c r="J2085" s="5">
        <v>16.955580000000001</v>
      </c>
      <c r="K2085" s="5">
        <v>-96.479206000000005</v>
      </c>
      <c r="L2085" s="5" t="str">
        <f>HYPERLINK("https://maps.google.com/?q=16.95558,-96.479206000000005", "🔗 Ver Mapa")</f>
        <v>🔗 Ver Mapa</v>
      </c>
    </row>
    <row r="2086" spans="1:12" ht="43.5" x14ac:dyDescent="0.35">
      <c r="A2086" s="6" t="s">
        <v>359</v>
      </c>
      <c r="B2086" s="6" t="s">
        <v>360</v>
      </c>
      <c r="C2086" s="6" t="s">
        <v>372</v>
      </c>
      <c r="D2086" s="6" t="s">
        <v>31</v>
      </c>
      <c r="E2086" s="6" t="s">
        <v>362</v>
      </c>
      <c r="F2086" s="6" t="s">
        <v>363</v>
      </c>
      <c r="G2086" s="6" t="s">
        <v>364</v>
      </c>
      <c r="H2086" s="6" t="s">
        <v>365</v>
      </c>
      <c r="I2086" s="6" t="s">
        <v>63</v>
      </c>
      <c r="J2086" s="6">
        <v>17.026216000000002</v>
      </c>
      <c r="K2086" s="6">
        <v>-97.928115000000005</v>
      </c>
      <c r="L2086" s="6" t="str">
        <f>HYPERLINK("https://maps.google.com/?q=17.026216,-97.928115000000005", "🔗 Ver Mapa")</f>
        <v>🔗 Ver Mapa</v>
      </c>
    </row>
    <row r="2087" spans="1:12" ht="43.5" x14ac:dyDescent="0.35">
      <c r="A2087" s="5" t="s">
        <v>359</v>
      </c>
      <c r="B2087" s="5" t="s">
        <v>360</v>
      </c>
      <c r="C2087" s="5" t="s">
        <v>372</v>
      </c>
      <c r="D2087" s="5" t="s">
        <v>31</v>
      </c>
      <c r="E2087" s="5" t="s">
        <v>362</v>
      </c>
      <c r="F2087" s="5" t="s">
        <v>363</v>
      </c>
      <c r="G2087" s="5" t="s">
        <v>364</v>
      </c>
      <c r="H2087" s="5" t="s">
        <v>365</v>
      </c>
      <c r="I2087" s="5" t="s">
        <v>63</v>
      </c>
      <c r="J2087" s="5">
        <v>17.027131000000001</v>
      </c>
      <c r="K2087" s="5">
        <v>-96.077044000000001</v>
      </c>
      <c r="L2087" s="5" t="str">
        <f>HYPERLINK("https://maps.google.com/?q=17.027131,-96.077044000000001", "🔗 Ver Mapa")</f>
        <v>🔗 Ver Mapa</v>
      </c>
    </row>
    <row r="2088" spans="1:12" ht="43.5" x14ac:dyDescent="0.35">
      <c r="A2088" s="6" t="s">
        <v>359</v>
      </c>
      <c r="B2088" s="6" t="s">
        <v>360</v>
      </c>
      <c r="C2088" s="6" t="s">
        <v>372</v>
      </c>
      <c r="D2088" s="6" t="s">
        <v>31</v>
      </c>
      <c r="E2088" s="6" t="s">
        <v>362</v>
      </c>
      <c r="F2088" s="6" t="s">
        <v>363</v>
      </c>
      <c r="G2088" s="6" t="s">
        <v>364</v>
      </c>
      <c r="H2088" s="6" t="s">
        <v>365</v>
      </c>
      <c r="I2088" s="6" t="s">
        <v>63</v>
      </c>
      <c r="J2088" s="6">
        <v>17.063777999999999</v>
      </c>
      <c r="K2088" s="6">
        <v>-96.729971000000006</v>
      </c>
      <c r="L2088" s="6" t="str">
        <f>HYPERLINK("https://maps.google.com/?q=17.063778,-96.729971000000006", "🔗 Ver Mapa")</f>
        <v>🔗 Ver Mapa</v>
      </c>
    </row>
    <row r="2089" spans="1:12" ht="43.5" x14ac:dyDescent="0.35">
      <c r="A2089" s="5" t="s">
        <v>359</v>
      </c>
      <c r="B2089" s="5" t="s">
        <v>360</v>
      </c>
      <c r="C2089" s="5" t="s">
        <v>372</v>
      </c>
      <c r="D2089" s="5" t="s">
        <v>31</v>
      </c>
      <c r="E2089" s="5" t="s">
        <v>362</v>
      </c>
      <c r="F2089" s="5" t="s">
        <v>363</v>
      </c>
      <c r="G2089" s="5" t="s">
        <v>364</v>
      </c>
      <c r="H2089" s="5" t="s">
        <v>365</v>
      </c>
      <c r="I2089" s="5" t="s">
        <v>63</v>
      </c>
      <c r="J2089" s="5">
        <v>17.207464000000002</v>
      </c>
      <c r="K2089" s="5">
        <v>-96.801094000000006</v>
      </c>
      <c r="L2089" s="5" t="str">
        <f>HYPERLINK("https://maps.google.com/?q=17.207464,-96.801094000000006", "🔗 Ver Mapa")</f>
        <v>🔗 Ver Mapa</v>
      </c>
    </row>
    <row r="2090" spans="1:12" ht="43.5" x14ac:dyDescent="0.35">
      <c r="A2090" s="6" t="s">
        <v>359</v>
      </c>
      <c r="B2090" s="6" t="s">
        <v>360</v>
      </c>
      <c r="C2090" s="6" t="s">
        <v>372</v>
      </c>
      <c r="D2090" s="6" t="s">
        <v>31</v>
      </c>
      <c r="E2090" s="6" t="s">
        <v>362</v>
      </c>
      <c r="F2090" s="6" t="s">
        <v>363</v>
      </c>
      <c r="G2090" s="6" t="s">
        <v>364</v>
      </c>
      <c r="H2090" s="6" t="s">
        <v>365</v>
      </c>
      <c r="I2090" s="6" t="s">
        <v>63</v>
      </c>
      <c r="J2090" s="6">
        <v>17.267448999999999</v>
      </c>
      <c r="K2090" s="6">
        <v>-97.680485000000004</v>
      </c>
      <c r="L2090" s="6" t="str">
        <f>HYPERLINK("https://maps.google.com/?q=17.267449,-97.680485000000004", "🔗 Ver Mapa")</f>
        <v>🔗 Ver Mapa</v>
      </c>
    </row>
    <row r="2091" spans="1:12" ht="43.5" x14ac:dyDescent="0.35">
      <c r="A2091" s="5" t="s">
        <v>359</v>
      </c>
      <c r="B2091" s="5" t="s">
        <v>360</v>
      </c>
      <c r="C2091" s="5" t="s">
        <v>372</v>
      </c>
      <c r="D2091" s="5" t="s">
        <v>31</v>
      </c>
      <c r="E2091" s="5" t="s">
        <v>362</v>
      </c>
      <c r="F2091" s="5" t="s">
        <v>363</v>
      </c>
      <c r="G2091" s="5" t="s">
        <v>364</v>
      </c>
      <c r="H2091" s="5" t="s">
        <v>365</v>
      </c>
      <c r="I2091" s="5" t="s">
        <v>63</v>
      </c>
      <c r="J2091" s="5">
        <v>17.331247999999999</v>
      </c>
      <c r="K2091" s="5">
        <v>-96.487900999999994</v>
      </c>
      <c r="L2091" s="5" t="str">
        <f>HYPERLINK("https://maps.google.com/?q=17.331248,-96.487900999999994", "🔗 Ver Mapa")</f>
        <v>🔗 Ver Mapa</v>
      </c>
    </row>
    <row r="2092" spans="1:12" ht="43.5" x14ac:dyDescent="0.35">
      <c r="A2092" s="6" t="s">
        <v>359</v>
      </c>
      <c r="B2092" s="6" t="s">
        <v>360</v>
      </c>
      <c r="C2092" s="6" t="s">
        <v>372</v>
      </c>
      <c r="D2092" s="6" t="s">
        <v>31</v>
      </c>
      <c r="E2092" s="6" t="s">
        <v>362</v>
      </c>
      <c r="F2092" s="6" t="s">
        <v>363</v>
      </c>
      <c r="G2092" s="6" t="s">
        <v>364</v>
      </c>
      <c r="H2092" s="6" t="s">
        <v>365</v>
      </c>
      <c r="I2092" s="6" t="s">
        <v>63</v>
      </c>
      <c r="J2092" s="6">
        <v>17.335315999999999</v>
      </c>
      <c r="K2092" s="6">
        <v>-98.012051</v>
      </c>
      <c r="L2092" s="6" t="str">
        <f>HYPERLINK("https://maps.google.com/?q=17.335316,-98.012051", "🔗 Ver Mapa")</f>
        <v>🔗 Ver Mapa</v>
      </c>
    </row>
    <row r="2093" spans="1:12" ht="43.5" x14ac:dyDescent="0.35">
      <c r="A2093" s="5" t="s">
        <v>359</v>
      </c>
      <c r="B2093" s="5" t="s">
        <v>360</v>
      </c>
      <c r="C2093" s="5" t="s">
        <v>372</v>
      </c>
      <c r="D2093" s="5" t="s">
        <v>31</v>
      </c>
      <c r="E2093" s="5" t="s">
        <v>362</v>
      </c>
      <c r="F2093" s="5" t="s">
        <v>363</v>
      </c>
      <c r="G2093" s="5" t="s">
        <v>364</v>
      </c>
      <c r="H2093" s="5" t="s">
        <v>365</v>
      </c>
      <c r="I2093" s="5" t="s">
        <v>63</v>
      </c>
      <c r="J2093" s="5">
        <v>17.338730000000002</v>
      </c>
      <c r="K2093" s="5">
        <v>-96.152553999999995</v>
      </c>
      <c r="L2093" s="5" t="str">
        <f>HYPERLINK("https://maps.google.com/?q=17.33873,-96.152553999999995", "🔗 Ver Mapa")</f>
        <v>🔗 Ver Mapa</v>
      </c>
    </row>
    <row r="2094" spans="1:12" ht="43.5" x14ac:dyDescent="0.35">
      <c r="A2094" s="6" t="s">
        <v>359</v>
      </c>
      <c r="B2094" s="6" t="s">
        <v>360</v>
      </c>
      <c r="C2094" s="6" t="s">
        <v>372</v>
      </c>
      <c r="D2094" s="6" t="s">
        <v>31</v>
      </c>
      <c r="E2094" s="6" t="s">
        <v>362</v>
      </c>
      <c r="F2094" s="6" t="s">
        <v>363</v>
      </c>
      <c r="G2094" s="6" t="s">
        <v>364</v>
      </c>
      <c r="H2094" s="6" t="s">
        <v>365</v>
      </c>
      <c r="I2094" s="6" t="s">
        <v>63</v>
      </c>
      <c r="J2094" s="6">
        <v>17.361765999999999</v>
      </c>
      <c r="K2094" s="6">
        <v>-95.922253999999995</v>
      </c>
      <c r="L2094" s="6" t="str">
        <f>HYPERLINK("https://maps.google.com/?q=17.361766,-95.922253999999995", "🔗 Ver Mapa")</f>
        <v>🔗 Ver Mapa</v>
      </c>
    </row>
    <row r="2095" spans="1:12" ht="43.5" x14ac:dyDescent="0.35">
      <c r="A2095" s="5" t="s">
        <v>359</v>
      </c>
      <c r="B2095" s="5" t="s">
        <v>360</v>
      </c>
      <c r="C2095" s="5" t="s">
        <v>372</v>
      </c>
      <c r="D2095" s="5" t="s">
        <v>31</v>
      </c>
      <c r="E2095" s="5" t="s">
        <v>362</v>
      </c>
      <c r="F2095" s="5" t="s">
        <v>363</v>
      </c>
      <c r="G2095" s="5" t="s">
        <v>364</v>
      </c>
      <c r="H2095" s="5" t="s">
        <v>365</v>
      </c>
      <c r="I2095" s="5" t="s">
        <v>63</v>
      </c>
      <c r="J2095" s="5">
        <v>17.458341000000001</v>
      </c>
      <c r="K2095" s="5">
        <v>-97.225285</v>
      </c>
      <c r="L2095" s="5" t="str">
        <f>HYPERLINK("https://maps.google.com/?q=17.458341,-97.225285", "🔗 Ver Mapa")</f>
        <v>🔗 Ver Mapa</v>
      </c>
    </row>
    <row r="2096" spans="1:12" ht="43.5" x14ac:dyDescent="0.35">
      <c r="A2096" s="6" t="s">
        <v>359</v>
      </c>
      <c r="B2096" s="6" t="s">
        <v>360</v>
      </c>
      <c r="C2096" s="6" t="s">
        <v>372</v>
      </c>
      <c r="D2096" s="6" t="s">
        <v>31</v>
      </c>
      <c r="E2096" s="6" t="s">
        <v>362</v>
      </c>
      <c r="F2096" s="6" t="s">
        <v>363</v>
      </c>
      <c r="G2096" s="6" t="s">
        <v>364</v>
      </c>
      <c r="H2096" s="6" t="s">
        <v>365</v>
      </c>
      <c r="I2096" s="6" t="s">
        <v>63</v>
      </c>
      <c r="J2096" s="6">
        <v>17.501442000000001</v>
      </c>
      <c r="K2096" s="6">
        <v>-98.142583999999999</v>
      </c>
      <c r="L2096" s="6" t="str">
        <f>HYPERLINK("https://maps.google.com/?q=17.501442,-98.142583999999999", "🔗 Ver Mapa")</f>
        <v>🔗 Ver Mapa</v>
      </c>
    </row>
    <row r="2097" spans="1:12" ht="43.5" x14ac:dyDescent="0.35">
      <c r="A2097" s="5" t="s">
        <v>359</v>
      </c>
      <c r="B2097" s="5" t="s">
        <v>360</v>
      </c>
      <c r="C2097" s="5" t="s">
        <v>372</v>
      </c>
      <c r="D2097" s="5" t="s">
        <v>31</v>
      </c>
      <c r="E2097" s="5" t="s">
        <v>362</v>
      </c>
      <c r="F2097" s="5" t="s">
        <v>363</v>
      </c>
      <c r="G2097" s="5" t="s">
        <v>364</v>
      </c>
      <c r="H2097" s="5" t="s">
        <v>365</v>
      </c>
      <c r="I2097" s="5" t="s">
        <v>63</v>
      </c>
      <c r="J2097" s="5">
        <v>17.511838000000001</v>
      </c>
      <c r="K2097" s="5">
        <v>-97.488547999999994</v>
      </c>
      <c r="L2097" s="5" t="str">
        <f>HYPERLINK("https://maps.google.com/?q=17.511838,-97.488547999999994", "🔗 Ver Mapa")</f>
        <v>🔗 Ver Mapa</v>
      </c>
    </row>
    <row r="2098" spans="1:12" ht="43.5" x14ac:dyDescent="0.35">
      <c r="A2098" s="6" t="s">
        <v>359</v>
      </c>
      <c r="B2098" s="6" t="s">
        <v>360</v>
      </c>
      <c r="C2098" s="6" t="s">
        <v>372</v>
      </c>
      <c r="D2098" s="6" t="s">
        <v>31</v>
      </c>
      <c r="E2098" s="6" t="s">
        <v>362</v>
      </c>
      <c r="F2098" s="6" t="s">
        <v>363</v>
      </c>
      <c r="G2098" s="6" t="s">
        <v>364</v>
      </c>
      <c r="H2098" s="6" t="s">
        <v>365</v>
      </c>
      <c r="I2098" s="6" t="s">
        <v>63</v>
      </c>
      <c r="J2098" s="6">
        <v>17.724615</v>
      </c>
      <c r="K2098" s="6">
        <v>-97.323898</v>
      </c>
      <c r="L2098" s="6" t="str">
        <f>HYPERLINK("https://maps.google.com/?q=17.724615,-97.323898", "🔗 Ver Mapa")</f>
        <v>🔗 Ver Mapa</v>
      </c>
    </row>
    <row r="2099" spans="1:12" ht="43.5" x14ac:dyDescent="0.35">
      <c r="A2099" s="5" t="s">
        <v>359</v>
      </c>
      <c r="B2099" s="5" t="s">
        <v>360</v>
      </c>
      <c r="C2099" s="5" t="s">
        <v>372</v>
      </c>
      <c r="D2099" s="5" t="s">
        <v>31</v>
      </c>
      <c r="E2099" s="5" t="s">
        <v>362</v>
      </c>
      <c r="F2099" s="5" t="s">
        <v>363</v>
      </c>
      <c r="G2099" s="5" t="s">
        <v>364</v>
      </c>
      <c r="H2099" s="5" t="s">
        <v>365</v>
      </c>
      <c r="I2099" s="5" t="s">
        <v>63</v>
      </c>
      <c r="J2099" s="5">
        <v>17.801687000000001</v>
      </c>
      <c r="K2099" s="5">
        <v>-96.959688</v>
      </c>
      <c r="L2099" s="5" t="str">
        <f>HYPERLINK("https://maps.google.com/?q=17.801687,-96.959688", "🔗 Ver Mapa")</f>
        <v>🔗 Ver Mapa</v>
      </c>
    </row>
    <row r="2100" spans="1:12" ht="43.5" x14ac:dyDescent="0.35">
      <c r="A2100" s="6" t="s">
        <v>359</v>
      </c>
      <c r="B2100" s="6" t="s">
        <v>360</v>
      </c>
      <c r="C2100" s="6" t="s">
        <v>372</v>
      </c>
      <c r="D2100" s="6" t="s">
        <v>31</v>
      </c>
      <c r="E2100" s="6" t="s">
        <v>362</v>
      </c>
      <c r="F2100" s="6" t="s">
        <v>363</v>
      </c>
      <c r="G2100" s="6" t="s">
        <v>364</v>
      </c>
      <c r="H2100" s="6" t="s">
        <v>365</v>
      </c>
      <c r="I2100" s="6" t="s">
        <v>63</v>
      </c>
      <c r="J2100" s="6">
        <v>17.806621</v>
      </c>
      <c r="K2100" s="6">
        <v>-97.776161999999999</v>
      </c>
      <c r="L2100" s="6" t="str">
        <f>HYPERLINK("https://maps.google.com/?q=17.806621,-97.776161999999999", "🔗 Ver Mapa")</f>
        <v>🔗 Ver Mapa</v>
      </c>
    </row>
    <row r="2101" spans="1:12" ht="43.5" x14ac:dyDescent="0.35">
      <c r="A2101" s="5" t="s">
        <v>359</v>
      </c>
      <c r="B2101" s="5" t="s">
        <v>360</v>
      </c>
      <c r="C2101" s="5" t="s">
        <v>372</v>
      </c>
      <c r="D2101" s="5" t="s">
        <v>31</v>
      </c>
      <c r="E2101" s="5" t="s">
        <v>362</v>
      </c>
      <c r="F2101" s="5" t="s">
        <v>363</v>
      </c>
      <c r="G2101" s="5" t="s">
        <v>364</v>
      </c>
      <c r="H2101" s="5" t="s">
        <v>365</v>
      </c>
      <c r="I2101" s="5" t="s">
        <v>63</v>
      </c>
      <c r="J2101" s="5">
        <v>18.081168999999999</v>
      </c>
      <c r="K2101" s="5">
        <v>-96.118475000000004</v>
      </c>
      <c r="L2101" s="5" t="str">
        <f>HYPERLINK("https://maps.google.com/?q=18.081169,-96.118475000000004", "🔗 Ver Mapa")</f>
        <v>🔗 Ver Mapa</v>
      </c>
    </row>
    <row r="2102" spans="1:12" ht="43.5" x14ac:dyDescent="0.35">
      <c r="A2102" s="6" t="s">
        <v>359</v>
      </c>
      <c r="B2102" s="6" t="s">
        <v>360</v>
      </c>
      <c r="C2102" s="6" t="s">
        <v>372</v>
      </c>
      <c r="D2102" s="6" t="s">
        <v>31</v>
      </c>
      <c r="E2102" s="6" t="s">
        <v>362</v>
      </c>
      <c r="F2102" s="6" t="s">
        <v>363</v>
      </c>
      <c r="G2102" s="6" t="s">
        <v>364</v>
      </c>
      <c r="H2102" s="6" t="s">
        <v>365</v>
      </c>
      <c r="I2102" s="6" t="s">
        <v>63</v>
      </c>
      <c r="J2102" s="6">
        <v>18.13222</v>
      </c>
      <c r="K2102" s="6">
        <v>-97.070751000000001</v>
      </c>
      <c r="L2102" s="6" t="str">
        <f>HYPERLINK("https://maps.google.com/?q=18.13222,-97.070751000000001", "🔗 Ver Mapa")</f>
        <v>🔗 Ver Mapa</v>
      </c>
    </row>
    <row r="2103" spans="1:12" ht="43.5" x14ac:dyDescent="0.35">
      <c r="A2103" s="5" t="s">
        <v>359</v>
      </c>
      <c r="B2103" s="5" t="s">
        <v>360</v>
      </c>
      <c r="C2103" s="5" t="s">
        <v>373</v>
      </c>
      <c r="D2103" s="5" t="s">
        <v>31</v>
      </c>
      <c r="E2103" s="5" t="s">
        <v>362</v>
      </c>
      <c r="F2103" s="5" t="s">
        <v>363</v>
      </c>
      <c r="G2103" s="5" t="s">
        <v>364</v>
      </c>
      <c r="H2103" s="5" t="s">
        <v>365</v>
      </c>
      <c r="I2103" s="5" t="s">
        <v>63</v>
      </c>
      <c r="J2103" s="5">
        <v>15.746143999999999</v>
      </c>
      <c r="K2103" s="5">
        <v>-96.465182999999996</v>
      </c>
      <c r="L2103" s="5" t="str">
        <f>HYPERLINK("https://maps.google.com/?q=15.746144,-96.465182999999996", "🔗 Ver Mapa")</f>
        <v>🔗 Ver Mapa</v>
      </c>
    </row>
    <row r="2104" spans="1:12" ht="43.5" x14ac:dyDescent="0.35">
      <c r="A2104" s="6" t="s">
        <v>359</v>
      </c>
      <c r="B2104" s="6" t="s">
        <v>360</v>
      </c>
      <c r="C2104" s="6" t="s">
        <v>373</v>
      </c>
      <c r="D2104" s="6" t="s">
        <v>31</v>
      </c>
      <c r="E2104" s="6" t="s">
        <v>362</v>
      </c>
      <c r="F2104" s="6" t="s">
        <v>363</v>
      </c>
      <c r="G2104" s="6" t="s">
        <v>364</v>
      </c>
      <c r="H2104" s="6" t="s">
        <v>365</v>
      </c>
      <c r="I2104" s="6" t="s">
        <v>63</v>
      </c>
      <c r="J2104" s="6">
        <v>16.237075999999998</v>
      </c>
      <c r="K2104" s="6">
        <v>-97.292351999999994</v>
      </c>
      <c r="L2104" s="6" t="str">
        <f>HYPERLINK("https://maps.google.com/?q=16.237076,-97.292351999999994", "🔗 Ver Mapa")</f>
        <v>🔗 Ver Mapa</v>
      </c>
    </row>
    <row r="2105" spans="1:12" ht="43.5" x14ac:dyDescent="0.35">
      <c r="A2105" s="5" t="s">
        <v>359</v>
      </c>
      <c r="B2105" s="5" t="s">
        <v>360</v>
      </c>
      <c r="C2105" s="5" t="s">
        <v>373</v>
      </c>
      <c r="D2105" s="5" t="s">
        <v>31</v>
      </c>
      <c r="E2105" s="5" t="s">
        <v>362</v>
      </c>
      <c r="F2105" s="5" t="s">
        <v>363</v>
      </c>
      <c r="G2105" s="5" t="s">
        <v>364</v>
      </c>
      <c r="H2105" s="5" t="s">
        <v>365</v>
      </c>
      <c r="I2105" s="5" t="s">
        <v>63</v>
      </c>
      <c r="J2105" s="5">
        <v>16.279057999999999</v>
      </c>
      <c r="K2105" s="5">
        <v>-97.820240999999996</v>
      </c>
      <c r="L2105" s="5" t="str">
        <f>HYPERLINK("https://maps.google.com/?q=16.279058,-97.820240999999996", "🔗 Ver Mapa")</f>
        <v>🔗 Ver Mapa</v>
      </c>
    </row>
    <row r="2106" spans="1:12" ht="43.5" x14ac:dyDescent="0.35">
      <c r="A2106" s="6" t="s">
        <v>359</v>
      </c>
      <c r="B2106" s="6" t="s">
        <v>360</v>
      </c>
      <c r="C2106" s="6" t="s">
        <v>373</v>
      </c>
      <c r="D2106" s="6" t="s">
        <v>31</v>
      </c>
      <c r="E2106" s="6" t="s">
        <v>362</v>
      </c>
      <c r="F2106" s="6" t="s">
        <v>363</v>
      </c>
      <c r="G2106" s="6" t="s">
        <v>364</v>
      </c>
      <c r="H2106" s="6" t="s">
        <v>365</v>
      </c>
      <c r="I2106" s="6" t="s">
        <v>63</v>
      </c>
      <c r="J2106" s="6">
        <v>16.328751</v>
      </c>
      <c r="K2106" s="6">
        <v>-96.596529000000004</v>
      </c>
      <c r="L2106" s="6" t="str">
        <f>HYPERLINK("https://maps.google.com/?q=16.328751,-96.596529000000004", "🔗 Ver Mapa")</f>
        <v>🔗 Ver Mapa</v>
      </c>
    </row>
    <row r="2107" spans="1:12" ht="43.5" x14ac:dyDescent="0.35">
      <c r="A2107" s="5" t="s">
        <v>359</v>
      </c>
      <c r="B2107" s="5" t="s">
        <v>360</v>
      </c>
      <c r="C2107" s="5" t="s">
        <v>373</v>
      </c>
      <c r="D2107" s="5" t="s">
        <v>31</v>
      </c>
      <c r="E2107" s="5" t="s">
        <v>362</v>
      </c>
      <c r="F2107" s="5" t="s">
        <v>363</v>
      </c>
      <c r="G2107" s="5" t="s">
        <v>364</v>
      </c>
      <c r="H2107" s="5" t="s">
        <v>365</v>
      </c>
      <c r="I2107" s="5" t="s">
        <v>63</v>
      </c>
      <c r="J2107" s="5">
        <v>16.332014000000001</v>
      </c>
      <c r="K2107" s="5">
        <v>-95.231966</v>
      </c>
      <c r="L2107" s="5" t="str">
        <f>HYPERLINK("https://maps.google.com/?q=16.332014,-95.231966", "🔗 Ver Mapa")</f>
        <v>🔗 Ver Mapa</v>
      </c>
    </row>
    <row r="2108" spans="1:12" ht="43.5" x14ac:dyDescent="0.35">
      <c r="A2108" s="6" t="s">
        <v>359</v>
      </c>
      <c r="B2108" s="6" t="s">
        <v>360</v>
      </c>
      <c r="C2108" s="6" t="s">
        <v>373</v>
      </c>
      <c r="D2108" s="6" t="s">
        <v>31</v>
      </c>
      <c r="E2108" s="6" t="s">
        <v>362</v>
      </c>
      <c r="F2108" s="6" t="s">
        <v>363</v>
      </c>
      <c r="G2108" s="6" t="s">
        <v>364</v>
      </c>
      <c r="H2108" s="6" t="s">
        <v>365</v>
      </c>
      <c r="I2108" s="6" t="s">
        <v>63</v>
      </c>
      <c r="J2108" s="6">
        <v>16.433347000000001</v>
      </c>
      <c r="K2108" s="6">
        <v>-95.021687</v>
      </c>
      <c r="L2108" s="6" t="str">
        <f>HYPERLINK("https://maps.google.com/?q=16.433347,-95.021687", "🔗 Ver Mapa")</f>
        <v>🔗 Ver Mapa</v>
      </c>
    </row>
    <row r="2109" spans="1:12" ht="43.5" x14ac:dyDescent="0.35">
      <c r="A2109" s="5" t="s">
        <v>359</v>
      </c>
      <c r="B2109" s="5" t="s">
        <v>360</v>
      </c>
      <c r="C2109" s="5" t="s">
        <v>373</v>
      </c>
      <c r="D2109" s="5" t="s">
        <v>31</v>
      </c>
      <c r="E2109" s="5" t="s">
        <v>362</v>
      </c>
      <c r="F2109" s="5" t="s">
        <v>363</v>
      </c>
      <c r="G2109" s="5" t="s">
        <v>364</v>
      </c>
      <c r="H2109" s="5" t="s">
        <v>365</v>
      </c>
      <c r="I2109" s="5" t="s">
        <v>63</v>
      </c>
      <c r="J2109" s="5">
        <v>16.500512000000001</v>
      </c>
      <c r="K2109" s="5">
        <v>-96.106790000000004</v>
      </c>
      <c r="L2109" s="5" t="str">
        <f>HYPERLINK("https://maps.google.com/?q=16.500512,-96.106790000000004", "🔗 Ver Mapa")</f>
        <v>🔗 Ver Mapa</v>
      </c>
    </row>
    <row r="2110" spans="1:12" ht="43.5" x14ac:dyDescent="0.35">
      <c r="A2110" s="6" t="s">
        <v>359</v>
      </c>
      <c r="B2110" s="6" t="s">
        <v>360</v>
      </c>
      <c r="C2110" s="6" t="s">
        <v>373</v>
      </c>
      <c r="D2110" s="6" t="s">
        <v>31</v>
      </c>
      <c r="E2110" s="6" t="s">
        <v>362</v>
      </c>
      <c r="F2110" s="6" t="s">
        <v>363</v>
      </c>
      <c r="G2110" s="6" t="s">
        <v>364</v>
      </c>
      <c r="H2110" s="6" t="s">
        <v>365</v>
      </c>
      <c r="I2110" s="6" t="s">
        <v>63</v>
      </c>
      <c r="J2110" s="6">
        <v>16.519807</v>
      </c>
      <c r="K2110" s="6">
        <v>-96.983885000000001</v>
      </c>
      <c r="L2110" s="6" t="str">
        <f>HYPERLINK("https://maps.google.com/?q=16.519807,-96.983885000000001", "🔗 Ver Mapa")</f>
        <v>🔗 Ver Mapa</v>
      </c>
    </row>
    <row r="2111" spans="1:12" ht="43.5" x14ac:dyDescent="0.35">
      <c r="A2111" s="5" t="s">
        <v>359</v>
      </c>
      <c r="B2111" s="5" t="s">
        <v>360</v>
      </c>
      <c r="C2111" s="5" t="s">
        <v>373</v>
      </c>
      <c r="D2111" s="5" t="s">
        <v>31</v>
      </c>
      <c r="E2111" s="5" t="s">
        <v>362</v>
      </c>
      <c r="F2111" s="5" t="s">
        <v>363</v>
      </c>
      <c r="G2111" s="5" t="s">
        <v>364</v>
      </c>
      <c r="H2111" s="5" t="s">
        <v>365</v>
      </c>
      <c r="I2111" s="5" t="s">
        <v>63</v>
      </c>
      <c r="J2111" s="5">
        <v>16.564243999999999</v>
      </c>
      <c r="K2111" s="5">
        <v>-96.731829000000005</v>
      </c>
      <c r="L2111" s="5" t="str">
        <f>HYPERLINK("https://maps.google.com/?q=16.564244,-96.731829000000005", "🔗 Ver Mapa")</f>
        <v>🔗 Ver Mapa</v>
      </c>
    </row>
    <row r="2112" spans="1:12" ht="43.5" x14ac:dyDescent="0.35">
      <c r="A2112" s="6" t="s">
        <v>359</v>
      </c>
      <c r="B2112" s="6" t="s">
        <v>360</v>
      </c>
      <c r="C2112" s="6" t="s">
        <v>373</v>
      </c>
      <c r="D2112" s="6" t="s">
        <v>31</v>
      </c>
      <c r="E2112" s="6" t="s">
        <v>362</v>
      </c>
      <c r="F2112" s="6" t="s">
        <v>363</v>
      </c>
      <c r="G2112" s="6" t="s">
        <v>364</v>
      </c>
      <c r="H2112" s="6" t="s">
        <v>365</v>
      </c>
      <c r="I2112" s="6" t="s">
        <v>63</v>
      </c>
      <c r="J2112" s="6">
        <v>16.791625</v>
      </c>
      <c r="K2112" s="6">
        <v>-96.674999</v>
      </c>
      <c r="L2112" s="6" t="str">
        <f>HYPERLINK("https://maps.google.com/?q=16.791625,-96.674999", "🔗 Ver Mapa")</f>
        <v>🔗 Ver Mapa</v>
      </c>
    </row>
    <row r="2113" spans="1:12" ht="43.5" x14ac:dyDescent="0.35">
      <c r="A2113" s="5" t="s">
        <v>359</v>
      </c>
      <c r="B2113" s="5" t="s">
        <v>360</v>
      </c>
      <c r="C2113" s="5" t="s">
        <v>373</v>
      </c>
      <c r="D2113" s="5" t="s">
        <v>31</v>
      </c>
      <c r="E2113" s="5" t="s">
        <v>362</v>
      </c>
      <c r="F2113" s="5" t="s">
        <v>363</v>
      </c>
      <c r="G2113" s="5" t="s">
        <v>364</v>
      </c>
      <c r="H2113" s="5" t="s">
        <v>365</v>
      </c>
      <c r="I2113" s="5" t="s">
        <v>63</v>
      </c>
      <c r="J2113" s="5">
        <v>16.866371000000001</v>
      </c>
      <c r="K2113" s="5">
        <v>-96.785623000000001</v>
      </c>
      <c r="L2113" s="5" t="str">
        <f>HYPERLINK("https://maps.google.com/?q=16.866371,-96.785623000000001", "🔗 Ver Mapa")</f>
        <v>🔗 Ver Mapa</v>
      </c>
    </row>
    <row r="2114" spans="1:12" ht="43.5" x14ac:dyDescent="0.35">
      <c r="A2114" s="6" t="s">
        <v>359</v>
      </c>
      <c r="B2114" s="6" t="s">
        <v>360</v>
      </c>
      <c r="C2114" s="6" t="s">
        <v>373</v>
      </c>
      <c r="D2114" s="6" t="s">
        <v>31</v>
      </c>
      <c r="E2114" s="6" t="s">
        <v>362</v>
      </c>
      <c r="F2114" s="6" t="s">
        <v>363</v>
      </c>
      <c r="G2114" s="6" t="s">
        <v>364</v>
      </c>
      <c r="H2114" s="6" t="s">
        <v>365</v>
      </c>
      <c r="I2114" s="6" t="s">
        <v>63</v>
      </c>
      <c r="J2114" s="6">
        <v>16.950706</v>
      </c>
      <c r="K2114" s="6">
        <v>-96.750504000000006</v>
      </c>
      <c r="L2114" s="6" t="str">
        <f>HYPERLINK("https://maps.google.com/?q=16.950706,-96.750504000000006", "🔗 Ver Mapa")</f>
        <v>🔗 Ver Mapa</v>
      </c>
    </row>
    <row r="2115" spans="1:12" ht="43.5" x14ac:dyDescent="0.35">
      <c r="A2115" s="5" t="s">
        <v>359</v>
      </c>
      <c r="B2115" s="5" t="s">
        <v>360</v>
      </c>
      <c r="C2115" s="5" t="s">
        <v>373</v>
      </c>
      <c r="D2115" s="5" t="s">
        <v>31</v>
      </c>
      <c r="E2115" s="5" t="s">
        <v>362</v>
      </c>
      <c r="F2115" s="5" t="s">
        <v>363</v>
      </c>
      <c r="G2115" s="5" t="s">
        <v>364</v>
      </c>
      <c r="H2115" s="5" t="s">
        <v>365</v>
      </c>
      <c r="I2115" s="5" t="s">
        <v>63</v>
      </c>
      <c r="J2115" s="5">
        <v>16.955580000000001</v>
      </c>
      <c r="K2115" s="5">
        <v>-96.479206000000005</v>
      </c>
      <c r="L2115" s="5" t="str">
        <f>HYPERLINK("https://maps.google.com/?q=16.95558,-96.479206000000005", "🔗 Ver Mapa")</f>
        <v>🔗 Ver Mapa</v>
      </c>
    </row>
    <row r="2116" spans="1:12" ht="43.5" x14ac:dyDescent="0.35">
      <c r="A2116" s="6" t="s">
        <v>359</v>
      </c>
      <c r="B2116" s="6" t="s">
        <v>360</v>
      </c>
      <c r="C2116" s="6" t="s">
        <v>373</v>
      </c>
      <c r="D2116" s="6" t="s">
        <v>31</v>
      </c>
      <c r="E2116" s="6" t="s">
        <v>362</v>
      </c>
      <c r="F2116" s="6" t="s">
        <v>363</v>
      </c>
      <c r="G2116" s="6" t="s">
        <v>364</v>
      </c>
      <c r="H2116" s="6" t="s">
        <v>365</v>
      </c>
      <c r="I2116" s="6" t="s">
        <v>63</v>
      </c>
      <c r="J2116" s="6">
        <v>17.026216000000002</v>
      </c>
      <c r="K2116" s="6">
        <v>-97.928115000000005</v>
      </c>
      <c r="L2116" s="6" t="str">
        <f>HYPERLINK("https://maps.google.com/?q=17.026216,-97.928115000000005", "🔗 Ver Mapa")</f>
        <v>🔗 Ver Mapa</v>
      </c>
    </row>
    <row r="2117" spans="1:12" ht="43.5" x14ac:dyDescent="0.35">
      <c r="A2117" s="5" t="s">
        <v>359</v>
      </c>
      <c r="B2117" s="5" t="s">
        <v>360</v>
      </c>
      <c r="C2117" s="5" t="s">
        <v>373</v>
      </c>
      <c r="D2117" s="5" t="s">
        <v>31</v>
      </c>
      <c r="E2117" s="5" t="s">
        <v>362</v>
      </c>
      <c r="F2117" s="5" t="s">
        <v>363</v>
      </c>
      <c r="G2117" s="5" t="s">
        <v>364</v>
      </c>
      <c r="H2117" s="5" t="s">
        <v>365</v>
      </c>
      <c r="I2117" s="5" t="s">
        <v>63</v>
      </c>
      <c r="J2117" s="5">
        <v>17.027131000000001</v>
      </c>
      <c r="K2117" s="5">
        <v>-96.077044000000001</v>
      </c>
      <c r="L2117" s="5" t="str">
        <f>HYPERLINK("https://maps.google.com/?q=17.027131,-96.077044000000001", "🔗 Ver Mapa")</f>
        <v>🔗 Ver Mapa</v>
      </c>
    </row>
    <row r="2118" spans="1:12" ht="43.5" x14ac:dyDescent="0.35">
      <c r="A2118" s="6" t="s">
        <v>359</v>
      </c>
      <c r="B2118" s="6" t="s">
        <v>360</v>
      </c>
      <c r="C2118" s="6" t="s">
        <v>373</v>
      </c>
      <c r="D2118" s="6" t="s">
        <v>31</v>
      </c>
      <c r="E2118" s="6" t="s">
        <v>362</v>
      </c>
      <c r="F2118" s="6" t="s">
        <v>363</v>
      </c>
      <c r="G2118" s="6" t="s">
        <v>364</v>
      </c>
      <c r="H2118" s="6" t="s">
        <v>365</v>
      </c>
      <c r="I2118" s="6" t="s">
        <v>63</v>
      </c>
      <c r="J2118" s="6">
        <v>17.063777999999999</v>
      </c>
      <c r="K2118" s="6">
        <v>-96.729971000000006</v>
      </c>
      <c r="L2118" s="6" t="str">
        <f>HYPERLINK("https://maps.google.com/?q=17.063778,-96.729971000000006", "🔗 Ver Mapa")</f>
        <v>🔗 Ver Mapa</v>
      </c>
    </row>
    <row r="2119" spans="1:12" ht="43.5" x14ac:dyDescent="0.35">
      <c r="A2119" s="5" t="s">
        <v>359</v>
      </c>
      <c r="B2119" s="5" t="s">
        <v>360</v>
      </c>
      <c r="C2119" s="5" t="s">
        <v>373</v>
      </c>
      <c r="D2119" s="5" t="s">
        <v>31</v>
      </c>
      <c r="E2119" s="5" t="s">
        <v>362</v>
      </c>
      <c r="F2119" s="5" t="s">
        <v>363</v>
      </c>
      <c r="G2119" s="5" t="s">
        <v>364</v>
      </c>
      <c r="H2119" s="5" t="s">
        <v>365</v>
      </c>
      <c r="I2119" s="5" t="s">
        <v>63</v>
      </c>
      <c r="J2119" s="5">
        <v>17.207464000000002</v>
      </c>
      <c r="K2119" s="5">
        <v>-96.801094000000006</v>
      </c>
      <c r="L2119" s="5" t="str">
        <f>HYPERLINK("https://maps.google.com/?q=17.207464,-96.801094000000006", "🔗 Ver Mapa")</f>
        <v>🔗 Ver Mapa</v>
      </c>
    </row>
    <row r="2120" spans="1:12" ht="43.5" x14ac:dyDescent="0.35">
      <c r="A2120" s="6" t="s">
        <v>359</v>
      </c>
      <c r="B2120" s="6" t="s">
        <v>360</v>
      </c>
      <c r="C2120" s="6" t="s">
        <v>373</v>
      </c>
      <c r="D2120" s="6" t="s">
        <v>31</v>
      </c>
      <c r="E2120" s="6" t="s">
        <v>362</v>
      </c>
      <c r="F2120" s="6" t="s">
        <v>363</v>
      </c>
      <c r="G2120" s="6" t="s">
        <v>364</v>
      </c>
      <c r="H2120" s="6" t="s">
        <v>365</v>
      </c>
      <c r="I2120" s="6" t="s">
        <v>63</v>
      </c>
      <c r="J2120" s="6">
        <v>17.267448999999999</v>
      </c>
      <c r="K2120" s="6">
        <v>-97.680485000000004</v>
      </c>
      <c r="L2120" s="6" t="str">
        <f>HYPERLINK("https://maps.google.com/?q=17.267449,-97.680485000000004", "🔗 Ver Mapa")</f>
        <v>🔗 Ver Mapa</v>
      </c>
    </row>
    <row r="2121" spans="1:12" ht="43.5" x14ac:dyDescent="0.35">
      <c r="A2121" s="5" t="s">
        <v>359</v>
      </c>
      <c r="B2121" s="5" t="s">
        <v>360</v>
      </c>
      <c r="C2121" s="5" t="s">
        <v>373</v>
      </c>
      <c r="D2121" s="5" t="s">
        <v>31</v>
      </c>
      <c r="E2121" s="5" t="s">
        <v>362</v>
      </c>
      <c r="F2121" s="5" t="s">
        <v>363</v>
      </c>
      <c r="G2121" s="5" t="s">
        <v>364</v>
      </c>
      <c r="H2121" s="5" t="s">
        <v>365</v>
      </c>
      <c r="I2121" s="5" t="s">
        <v>63</v>
      </c>
      <c r="J2121" s="5">
        <v>17.331247999999999</v>
      </c>
      <c r="K2121" s="5">
        <v>-96.487900999999994</v>
      </c>
      <c r="L2121" s="5" t="str">
        <f>HYPERLINK("https://maps.google.com/?q=17.331248,-96.487900999999994", "🔗 Ver Mapa")</f>
        <v>🔗 Ver Mapa</v>
      </c>
    </row>
    <row r="2122" spans="1:12" ht="43.5" x14ac:dyDescent="0.35">
      <c r="A2122" s="6" t="s">
        <v>359</v>
      </c>
      <c r="B2122" s="6" t="s">
        <v>360</v>
      </c>
      <c r="C2122" s="6" t="s">
        <v>373</v>
      </c>
      <c r="D2122" s="6" t="s">
        <v>31</v>
      </c>
      <c r="E2122" s="6" t="s">
        <v>362</v>
      </c>
      <c r="F2122" s="6" t="s">
        <v>363</v>
      </c>
      <c r="G2122" s="6" t="s">
        <v>364</v>
      </c>
      <c r="H2122" s="6" t="s">
        <v>365</v>
      </c>
      <c r="I2122" s="6" t="s">
        <v>63</v>
      </c>
      <c r="J2122" s="6">
        <v>17.335315999999999</v>
      </c>
      <c r="K2122" s="6">
        <v>-98.012051</v>
      </c>
      <c r="L2122" s="6" t="str">
        <f>HYPERLINK("https://maps.google.com/?q=17.335316,-98.012051", "🔗 Ver Mapa")</f>
        <v>🔗 Ver Mapa</v>
      </c>
    </row>
    <row r="2123" spans="1:12" ht="43.5" x14ac:dyDescent="0.35">
      <c r="A2123" s="5" t="s">
        <v>359</v>
      </c>
      <c r="B2123" s="5" t="s">
        <v>360</v>
      </c>
      <c r="C2123" s="5" t="s">
        <v>373</v>
      </c>
      <c r="D2123" s="5" t="s">
        <v>31</v>
      </c>
      <c r="E2123" s="5" t="s">
        <v>362</v>
      </c>
      <c r="F2123" s="5" t="s">
        <v>363</v>
      </c>
      <c r="G2123" s="5" t="s">
        <v>364</v>
      </c>
      <c r="H2123" s="5" t="s">
        <v>365</v>
      </c>
      <c r="I2123" s="5" t="s">
        <v>63</v>
      </c>
      <c r="J2123" s="5">
        <v>17.338730000000002</v>
      </c>
      <c r="K2123" s="5">
        <v>-96.152553999999995</v>
      </c>
      <c r="L2123" s="5" t="str">
        <f>HYPERLINK("https://maps.google.com/?q=17.33873,-96.152553999999995", "🔗 Ver Mapa")</f>
        <v>🔗 Ver Mapa</v>
      </c>
    </row>
    <row r="2124" spans="1:12" ht="43.5" x14ac:dyDescent="0.35">
      <c r="A2124" s="6" t="s">
        <v>359</v>
      </c>
      <c r="B2124" s="6" t="s">
        <v>360</v>
      </c>
      <c r="C2124" s="6" t="s">
        <v>373</v>
      </c>
      <c r="D2124" s="6" t="s">
        <v>31</v>
      </c>
      <c r="E2124" s="6" t="s">
        <v>362</v>
      </c>
      <c r="F2124" s="6" t="s">
        <v>363</v>
      </c>
      <c r="G2124" s="6" t="s">
        <v>364</v>
      </c>
      <c r="H2124" s="6" t="s">
        <v>365</v>
      </c>
      <c r="I2124" s="6" t="s">
        <v>63</v>
      </c>
      <c r="J2124" s="6">
        <v>17.361765999999999</v>
      </c>
      <c r="K2124" s="6">
        <v>-95.922253999999995</v>
      </c>
      <c r="L2124" s="6" t="str">
        <f>HYPERLINK("https://maps.google.com/?q=17.361766,-95.922253999999995", "🔗 Ver Mapa")</f>
        <v>🔗 Ver Mapa</v>
      </c>
    </row>
    <row r="2125" spans="1:12" ht="43.5" x14ac:dyDescent="0.35">
      <c r="A2125" s="5" t="s">
        <v>359</v>
      </c>
      <c r="B2125" s="5" t="s">
        <v>360</v>
      </c>
      <c r="C2125" s="5" t="s">
        <v>373</v>
      </c>
      <c r="D2125" s="5" t="s">
        <v>31</v>
      </c>
      <c r="E2125" s="5" t="s">
        <v>362</v>
      </c>
      <c r="F2125" s="5" t="s">
        <v>363</v>
      </c>
      <c r="G2125" s="5" t="s">
        <v>364</v>
      </c>
      <c r="H2125" s="5" t="s">
        <v>365</v>
      </c>
      <c r="I2125" s="5" t="s">
        <v>63</v>
      </c>
      <c r="J2125" s="5">
        <v>17.458341000000001</v>
      </c>
      <c r="K2125" s="5">
        <v>-97.225285</v>
      </c>
      <c r="L2125" s="5" t="str">
        <f>HYPERLINK("https://maps.google.com/?q=17.458341,-97.225285", "🔗 Ver Mapa")</f>
        <v>🔗 Ver Mapa</v>
      </c>
    </row>
    <row r="2126" spans="1:12" ht="43.5" x14ac:dyDescent="0.35">
      <c r="A2126" s="6" t="s">
        <v>359</v>
      </c>
      <c r="B2126" s="6" t="s">
        <v>360</v>
      </c>
      <c r="C2126" s="6" t="s">
        <v>373</v>
      </c>
      <c r="D2126" s="6" t="s">
        <v>31</v>
      </c>
      <c r="E2126" s="6" t="s">
        <v>362</v>
      </c>
      <c r="F2126" s="6" t="s">
        <v>363</v>
      </c>
      <c r="G2126" s="6" t="s">
        <v>364</v>
      </c>
      <c r="H2126" s="6" t="s">
        <v>365</v>
      </c>
      <c r="I2126" s="6" t="s">
        <v>63</v>
      </c>
      <c r="J2126" s="6">
        <v>17.501442000000001</v>
      </c>
      <c r="K2126" s="6">
        <v>-98.142583999999999</v>
      </c>
      <c r="L2126" s="6" t="str">
        <f>HYPERLINK("https://maps.google.com/?q=17.501442,-98.142583999999999", "🔗 Ver Mapa")</f>
        <v>🔗 Ver Mapa</v>
      </c>
    </row>
    <row r="2127" spans="1:12" ht="43.5" x14ac:dyDescent="0.35">
      <c r="A2127" s="5" t="s">
        <v>359</v>
      </c>
      <c r="B2127" s="5" t="s">
        <v>360</v>
      </c>
      <c r="C2127" s="5" t="s">
        <v>373</v>
      </c>
      <c r="D2127" s="5" t="s">
        <v>31</v>
      </c>
      <c r="E2127" s="5" t="s">
        <v>362</v>
      </c>
      <c r="F2127" s="5" t="s">
        <v>363</v>
      </c>
      <c r="G2127" s="5" t="s">
        <v>364</v>
      </c>
      <c r="H2127" s="5" t="s">
        <v>365</v>
      </c>
      <c r="I2127" s="5" t="s">
        <v>63</v>
      </c>
      <c r="J2127" s="5">
        <v>17.511838000000001</v>
      </c>
      <c r="K2127" s="5">
        <v>-97.488547999999994</v>
      </c>
      <c r="L2127" s="5" t="str">
        <f>HYPERLINK("https://maps.google.com/?q=17.511838,-97.488547999999994", "🔗 Ver Mapa")</f>
        <v>🔗 Ver Mapa</v>
      </c>
    </row>
    <row r="2128" spans="1:12" ht="43.5" x14ac:dyDescent="0.35">
      <c r="A2128" s="6" t="s">
        <v>359</v>
      </c>
      <c r="B2128" s="6" t="s">
        <v>360</v>
      </c>
      <c r="C2128" s="6" t="s">
        <v>373</v>
      </c>
      <c r="D2128" s="6" t="s">
        <v>31</v>
      </c>
      <c r="E2128" s="6" t="s">
        <v>362</v>
      </c>
      <c r="F2128" s="6" t="s">
        <v>363</v>
      </c>
      <c r="G2128" s="6" t="s">
        <v>364</v>
      </c>
      <c r="H2128" s="6" t="s">
        <v>365</v>
      </c>
      <c r="I2128" s="6" t="s">
        <v>63</v>
      </c>
      <c r="J2128" s="6">
        <v>17.724615</v>
      </c>
      <c r="K2128" s="6">
        <v>-97.323898</v>
      </c>
      <c r="L2128" s="6" t="str">
        <f>HYPERLINK("https://maps.google.com/?q=17.724615,-97.323898", "🔗 Ver Mapa")</f>
        <v>🔗 Ver Mapa</v>
      </c>
    </row>
    <row r="2129" spans="1:12" ht="43.5" x14ac:dyDescent="0.35">
      <c r="A2129" s="5" t="s">
        <v>359</v>
      </c>
      <c r="B2129" s="5" t="s">
        <v>360</v>
      </c>
      <c r="C2129" s="5" t="s">
        <v>373</v>
      </c>
      <c r="D2129" s="5" t="s">
        <v>31</v>
      </c>
      <c r="E2129" s="5" t="s">
        <v>362</v>
      </c>
      <c r="F2129" s="5" t="s">
        <v>363</v>
      </c>
      <c r="G2129" s="5" t="s">
        <v>364</v>
      </c>
      <c r="H2129" s="5" t="s">
        <v>365</v>
      </c>
      <c r="I2129" s="5" t="s">
        <v>63</v>
      </c>
      <c r="J2129" s="5">
        <v>17.801687000000001</v>
      </c>
      <c r="K2129" s="5">
        <v>-96.959688</v>
      </c>
      <c r="L2129" s="5" t="str">
        <f>HYPERLINK("https://maps.google.com/?q=17.801687,-96.959688", "🔗 Ver Mapa")</f>
        <v>🔗 Ver Mapa</v>
      </c>
    </row>
    <row r="2130" spans="1:12" ht="43.5" x14ac:dyDescent="0.35">
      <c r="A2130" s="6" t="s">
        <v>359</v>
      </c>
      <c r="B2130" s="6" t="s">
        <v>360</v>
      </c>
      <c r="C2130" s="6" t="s">
        <v>373</v>
      </c>
      <c r="D2130" s="6" t="s">
        <v>31</v>
      </c>
      <c r="E2130" s="6" t="s">
        <v>362</v>
      </c>
      <c r="F2130" s="6" t="s">
        <v>363</v>
      </c>
      <c r="G2130" s="6" t="s">
        <v>364</v>
      </c>
      <c r="H2130" s="6" t="s">
        <v>365</v>
      </c>
      <c r="I2130" s="6" t="s">
        <v>63</v>
      </c>
      <c r="J2130" s="6">
        <v>17.806621</v>
      </c>
      <c r="K2130" s="6">
        <v>-97.776161999999999</v>
      </c>
      <c r="L2130" s="6" t="str">
        <f>HYPERLINK("https://maps.google.com/?q=17.806621,-97.776161999999999", "🔗 Ver Mapa")</f>
        <v>🔗 Ver Mapa</v>
      </c>
    </row>
    <row r="2131" spans="1:12" ht="43.5" x14ac:dyDescent="0.35">
      <c r="A2131" s="5" t="s">
        <v>359</v>
      </c>
      <c r="B2131" s="5" t="s">
        <v>360</v>
      </c>
      <c r="C2131" s="5" t="s">
        <v>373</v>
      </c>
      <c r="D2131" s="5" t="s">
        <v>31</v>
      </c>
      <c r="E2131" s="5" t="s">
        <v>362</v>
      </c>
      <c r="F2131" s="5" t="s">
        <v>363</v>
      </c>
      <c r="G2131" s="5" t="s">
        <v>364</v>
      </c>
      <c r="H2131" s="5" t="s">
        <v>365</v>
      </c>
      <c r="I2131" s="5" t="s">
        <v>63</v>
      </c>
      <c r="J2131" s="5">
        <v>18.081168999999999</v>
      </c>
      <c r="K2131" s="5">
        <v>-96.118475000000004</v>
      </c>
      <c r="L2131" s="5" t="str">
        <f>HYPERLINK("https://maps.google.com/?q=18.081169,-96.118475000000004", "🔗 Ver Mapa")</f>
        <v>🔗 Ver Mapa</v>
      </c>
    </row>
    <row r="2132" spans="1:12" ht="43.5" x14ac:dyDescent="0.35">
      <c r="A2132" s="6" t="s">
        <v>359</v>
      </c>
      <c r="B2132" s="6" t="s">
        <v>360</v>
      </c>
      <c r="C2132" s="6" t="s">
        <v>373</v>
      </c>
      <c r="D2132" s="6" t="s">
        <v>31</v>
      </c>
      <c r="E2132" s="6" t="s">
        <v>362</v>
      </c>
      <c r="F2132" s="6" t="s">
        <v>363</v>
      </c>
      <c r="G2132" s="6" t="s">
        <v>364</v>
      </c>
      <c r="H2132" s="6" t="s">
        <v>365</v>
      </c>
      <c r="I2132" s="6" t="s">
        <v>63</v>
      </c>
      <c r="J2132" s="6">
        <v>18.13222</v>
      </c>
      <c r="K2132" s="6">
        <v>-97.070751000000001</v>
      </c>
      <c r="L2132" s="6" t="str">
        <f>HYPERLINK("https://maps.google.com/?q=18.13222,-97.070751000000001", "🔗 Ver Mapa")</f>
        <v>🔗 Ver Mapa</v>
      </c>
    </row>
    <row r="2133" spans="1:12" ht="43.5" x14ac:dyDescent="0.35">
      <c r="A2133" s="5" t="s">
        <v>359</v>
      </c>
      <c r="B2133" s="5" t="s">
        <v>360</v>
      </c>
      <c r="C2133" s="5" t="s">
        <v>374</v>
      </c>
      <c r="D2133" s="5" t="s">
        <v>31</v>
      </c>
      <c r="E2133" s="5" t="s">
        <v>362</v>
      </c>
      <c r="F2133" s="5" t="s">
        <v>363</v>
      </c>
      <c r="G2133" s="5" t="s">
        <v>364</v>
      </c>
      <c r="H2133" s="5" t="s">
        <v>365</v>
      </c>
      <c r="I2133" s="5" t="s">
        <v>63</v>
      </c>
      <c r="J2133" s="5">
        <v>15.746143999999999</v>
      </c>
      <c r="K2133" s="5">
        <v>-96.465182999999996</v>
      </c>
      <c r="L2133" s="5" t="str">
        <f>HYPERLINK("https://maps.google.com/?q=15.746144,-96.465182999999996", "🔗 Ver Mapa")</f>
        <v>🔗 Ver Mapa</v>
      </c>
    </row>
    <row r="2134" spans="1:12" ht="43.5" x14ac:dyDescent="0.35">
      <c r="A2134" s="6" t="s">
        <v>359</v>
      </c>
      <c r="B2134" s="6" t="s">
        <v>360</v>
      </c>
      <c r="C2134" s="6" t="s">
        <v>374</v>
      </c>
      <c r="D2134" s="6" t="s">
        <v>31</v>
      </c>
      <c r="E2134" s="6" t="s">
        <v>362</v>
      </c>
      <c r="F2134" s="6" t="s">
        <v>363</v>
      </c>
      <c r="G2134" s="6" t="s">
        <v>364</v>
      </c>
      <c r="H2134" s="6" t="s">
        <v>365</v>
      </c>
      <c r="I2134" s="6" t="s">
        <v>63</v>
      </c>
      <c r="J2134" s="6">
        <v>16.237075999999998</v>
      </c>
      <c r="K2134" s="6">
        <v>-97.292351999999994</v>
      </c>
      <c r="L2134" s="6" t="str">
        <f>HYPERLINK("https://maps.google.com/?q=16.237076,-97.292351999999994", "🔗 Ver Mapa")</f>
        <v>🔗 Ver Mapa</v>
      </c>
    </row>
    <row r="2135" spans="1:12" ht="43.5" x14ac:dyDescent="0.35">
      <c r="A2135" s="5" t="s">
        <v>359</v>
      </c>
      <c r="B2135" s="5" t="s">
        <v>360</v>
      </c>
      <c r="C2135" s="5" t="s">
        <v>374</v>
      </c>
      <c r="D2135" s="5" t="s">
        <v>31</v>
      </c>
      <c r="E2135" s="5" t="s">
        <v>362</v>
      </c>
      <c r="F2135" s="5" t="s">
        <v>363</v>
      </c>
      <c r="G2135" s="5" t="s">
        <v>364</v>
      </c>
      <c r="H2135" s="5" t="s">
        <v>365</v>
      </c>
      <c r="I2135" s="5" t="s">
        <v>63</v>
      </c>
      <c r="J2135" s="5">
        <v>16.279057999999999</v>
      </c>
      <c r="K2135" s="5">
        <v>-97.820240999999996</v>
      </c>
      <c r="L2135" s="5" t="str">
        <f>HYPERLINK("https://maps.google.com/?q=16.279058,-97.820240999999996", "🔗 Ver Mapa")</f>
        <v>🔗 Ver Mapa</v>
      </c>
    </row>
    <row r="2136" spans="1:12" ht="43.5" x14ac:dyDescent="0.35">
      <c r="A2136" s="6" t="s">
        <v>359</v>
      </c>
      <c r="B2136" s="6" t="s">
        <v>360</v>
      </c>
      <c r="C2136" s="6" t="s">
        <v>374</v>
      </c>
      <c r="D2136" s="6" t="s">
        <v>31</v>
      </c>
      <c r="E2136" s="6" t="s">
        <v>362</v>
      </c>
      <c r="F2136" s="6" t="s">
        <v>363</v>
      </c>
      <c r="G2136" s="6" t="s">
        <v>364</v>
      </c>
      <c r="H2136" s="6" t="s">
        <v>365</v>
      </c>
      <c r="I2136" s="6" t="s">
        <v>63</v>
      </c>
      <c r="J2136" s="6">
        <v>16.328751</v>
      </c>
      <c r="K2136" s="6">
        <v>-96.596529000000004</v>
      </c>
      <c r="L2136" s="6" t="str">
        <f>HYPERLINK("https://maps.google.com/?q=16.328751,-96.596529000000004", "🔗 Ver Mapa")</f>
        <v>🔗 Ver Mapa</v>
      </c>
    </row>
    <row r="2137" spans="1:12" ht="43.5" x14ac:dyDescent="0.35">
      <c r="A2137" s="5" t="s">
        <v>359</v>
      </c>
      <c r="B2137" s="5" t="s">
        <v>360</v>
      </c>
      <c r="C2137" s="5" t="s">
        <v>374</v>
      </c>
      <c r="D2137" s="5" t="s">
        <v>31</v>
      </c>
      <c r="E2137" s="5" t="s">
        <v>362</v>
      </c>
      <c r="F2137" s="5" t="s">
        <v>363</v>
      </c>
      <c r="G2137" s="5" t="s">
        <v>364</v>
      </c>
      <c r="H2137" s="5" t="s">
        <v>365</v>
      </c>
      <c r="I2137" s="5" t="s">
        <v>63</v>
      </c>
      <c r="J2137" s="5">
        <v>16.332014000000001</v>
      </c>
      <c r="K2137" s="5">
        <v>-95.231966</v>
      </c>
      <c r="L2137" s="5" t="str">
        <f>HYPERLINK("https://maps.google.com/?q=16.332014,-95.231966", "🔗 Ver Mapa")</f>
        <v>🔗 Ver Mapa</v>
      </c>
    </row>
    <row r="2138" spans="1:12" ht="43.5" x14ac:dyDescent="0.35">
      <c r="A2138" s="6" t="s">
        <v>359</v>
      </c>
      <c r="B2138" s="6" t="s">
        <v>360</v>
      </c>
      <c r="C2138" s="6" t="s">
        <v>374</v>
      </c>
      <c r="D2138" s="6" t="s">
        <v>31</v>
      </c>
      <c r="E2138" s="6" t="s">
        <v>362</v>
      </c>
      <c r="F2138" s="6" t="s">
        <v>363</v>
      </c>
      <c r="G2138" s="6" t="s">
        <v>364</v>
      </c>
      <c r="H2138" s="6" t="s">
        <v>365</v>
      </c>
      <c r="I2138" s="6" t="s">
        <v>63</v>
      </c>
      <c r="J2138" s="6">
        <v>16.433347000000001</v>
      </c>
      <c r="K2138" s="6">
        <v>-95.021687</v>
      </c>
      <c r="L2138" s="6" t="str">
        <f>HYPERLINK("https://maps.google.com/?q=16.433347,-95.021687", "🔗 Ver Mapa")</f>
        <v>🔗 Ver Mapa</v>
      </c>
    </row>
    <row r="2139" spans="1:12" ht="43.5" x14ac:dyDescent="0.35">
      <c r="A2139" s="5" t="s">
        <v>359</v>
      </c>
      <c r="B2139" s="5" t="s">
        <v>360</v>
      </c>
      <c r="C2139" s="5" t="s">
        <v>374</v>
      </c>
      <c r="D2139" s="5" t="s">
        <v>31</v>
      </c>
      <c r="E2139" s="5" t="s">
        <v>362</v>
      </c>
      <c r="F2139" s="5" t="s">
        <v>363</v>
      </c>
      <c r="G2139" s="5" t="s">
        <v>364</v>
      </c>
      <c r="H2139" s="5" t="s">
        <v>365</v>
      </c>
      <c r="I2139" s="5" t="s">
        <v>63</v>
      </c>
      <c r="J2139" s="5">
        <v>16.500512000000001</v>
      </c>
      <c r="K2139" s="5">
        <v>-96.106790000000004</v>
      </c>
      <c r="L2139" s="5" t="str">
        <f>HYPERLINK("https://maps.google.com/?q=16.500512,-96.106790000000004", "🔗 Ver Mapa")</f>
        <v>🔗 Ver Mapa</v>
      </c>
    </row>
    <row r="2140" spans="1:12" ht="43.5" x14ac:dyDescent="0.35">
      <c r="A2140" s="6" t="s">
        <v>359</v>
      </c>
      <c r="B2140" s="6" t="s">
        <v>360</v>
      </c>
      <c r="C2140" s="6" t="s">
        <v>374</v>
      </c>
      <c r="D2140" s="6" t="s">
        <v>31</v>
      </c>
      <c r="E2140" s="6" t="s">
        <v>362</v>
      </c>
      <c r="F2140" s="6" t="s">
        <v>363</v>
      </c>
      <c r="G2140" s="6" t="s">
        <v>364</v>
      </c>
      <c r="H2140" s="6" t="s">
        <v>365</v>
      </c>
      <c r="I2140" s="6" t="s">
        <v>63</v>
      </c>
      <c r="J2140" s="6">
        <v>16.519807</v>
      </c>
      <c r="K2140" s="6">
        <v>-96.983885000000001</v>
      </c>
      <c r="L2140" s="6" t="str">
        <f>HYPERLINK("https://maps.google.com/?q=16.519807,-96.983885000000001", "🔗 Ver Mapa")</f>
        <v>🔗 Ver Mapa</v>
      </c>
    </row>
    <row r="2141" spans="1:12" ht="43.5" x14ac:dyDescent="0.35">
      <c r="A2141" s="5" t="s">
        <v>359</v>
      </c>
      <c r="B2141" s="5" t="s">
        <v>360</v>
      </c>
      <c r="C2141" s="5" t="s">
        <v>374</v>
      </c>
      <c r="D2141" s="5" t="s">
        <v>31</v>
      </c>
      <c r="E2141" s="5" t="s">
        <v>362</v>
      </c>
      <c r="F2141" s="5" t="s">
        <v>363</v>
      </c>
      <c r="G2141" s="5" t="s">
        <v>364</v>
      </c>
      <c r="H2141" s="5" t="s">
        <v>365</v>
      </c>
      <c r="I2141" s="5" t="s">
        <v>63</v>
      </c>
      <c r="J2141" s="5">
        <v>16.564243999999999</v>
      </c>
      <c r="K2141" s="5">
        <v>-96.731829000000005</v>
      </c>
      <c r="L2141" s="5" t="str">
        <f>HYPERLINK("https://maps.google.com/?q=16.564244,-96.731829000000005", "🔗 Ver Mapa")</f>
        <v>🔗 Ver Mapa</v>
      </c>
    </row>
    <row r="2142" spans="1:12" ht="43.5" x14ac:dyDescent="0.35">
      <c r="A2142" s="6" t="s">
        <v>359</v>
      </c>
      <c r="B2142" s="6" t="s">
        <v>360</v>
      </c>
      <c r="C2142" s="6" t="s">
        <v>374</v>
      </c>
      <c r="D2142" s="6" t="s">
        <v>31</v>
      </c>
      <c r="E2142" s="6" t="s">
        <v>362</v>
      </c>
      <c r="F2142" s="6" t="s">
        <v>363</v>
      </c>
      <c r="G2142" s="6" t="s">
        <v>364</v>
      </c>
      <c r="H2142" s="6" t="s">
        <v>365</v>
      </c>
      <c r="I2142" s="6" t="s">
        <v>63</v>
      </c>
      <c r="J2142" s="6">
        <v>16.791625</v>
      </c>
      <c r="K2142" s="6">
        <v>-96.674999</v>
      </c>
      <c r="L2142" s="6" t="str">
        <f>HYPERLINK("https://maps.google.com/?q=16.791625,-96.674999", "🔗 Ver Mapa")</f>
        <v>🔗 Ver Mapa</v>
      </c>
    </row>
    <row r="2143" spans="1:12" ht="43.5" x14ac:dyDescent="0.35">
      <c r="A2143" s="5" t="s">
        <v>359</v>
      </c>
      <c r="B2143" s="5" t="s">
        <v>360</v>
      </c>
      <c r="C2143" s="5" t="s">
        <v>374</v>
      </c>
      <c r="D2143" s="5" t="s">
        <v>31</v>
      </c>
      <c r="E2143" s="5" t="s">
        <v>362</v>
      </c>
      <c r="F2143" s="5" t="s">
        <v>363</v>
      </c>
      <c r="G2143" s="5" t="s">
        <v>364</v>
      </c>
      <c r="H2143" s="5" t="s">
        <v>365</v>
      </c>
      <c r="I2143" s="5" t="s">
        <v>63</v>
      </c>
      <c r="J2143" s="5">
        <v>16.866371000000001</v>
      </c>
      <c r="K2143" s="5">
        <v>-96.785623000000001</v>
      </c>
      <c r="L2143" s="5" t="str">
        <f>HYPERLINK("https://maps.google.com/?q=16.866371,-96.785623000000001", "🔗 Ver Mapa")</f>
        <v>🔗 Ver Mapa</v>
      </c>
    </row>
    <row r="2144" spans="1:12" ht="43.5" x14ac:dyDescent="0.35">
      <c r="A2144" s="6" t="s">
        <v>359</v>
      </c>
      <c r="B2144" s="6" t="s">
        <v>360</v>
      </c>
      <c r="C2144" s="6" t="s">
        <v>374</v>
      </c>
      <c r="D2144" s="6" t="s">
        <v>31</v>
      </c>
      <c r="E2144" s="6" t="s">
        <v>362</v>
      </c>
      <c r="F2144" s="6" t="s">
        <v>363</v>
      </c>
      <c r="G2144" s="6" t="s">
        <v>364</v>
      </c>
      <c r="H2144" s="6" t="s">
        <v>365</v>
      </c>
      <c r="I2144" s="6" t="s">
        <v>63</v>
      </c>
      <c r="J2144" s="6">
        <v>16.950706</v>
      </c>
      <c r="K2144" s="6">
        <v>-96.750504000000006</v>
      </c>
      <c r="L2144" s="6" t="str">
        <f>HYPERLINK("https://maps.google.com/?q=16.950706,-96.750504000000006", "🔗 Ver Mapa")</f>
        <v>🔗 Ver Mapa</v>
      </c>
    </row>
    <row r="2145" spans="1:12" ht="43.5" x14ac:dyDescent="0.35">
      <c r="A2145" s="5" t="s">
        <v>359</v>
      </c>
      <c r="B2145" s="5" t="s">
        <v>360</v>
      </c>
      <c r="C2145" s="5" t="s">
        <v>374</v>
      </c>
      <c r="D2145" s="5" t="s">
        <v>31</v>
      </c>
      <c r="E2145" s="5" t="s">
        <v>362</v>
      </c>
      <c r="F2145" s="5" t="s">
        <v>363</v>
      </c>
      <c r="G2145" s="5" t="s">
        <v>364</v>
      </c>
      <c r="H2145" s="5" t="s">
        <v>365</v>
      </c>
      <c r="I2145" s="5" t="s">
        <v>63</v>
      </c>
      <c r="J2145" s="5">
        <v>16.955580000000001</v>
      </c>
      <c r="K2145" s="5">
        <v>-96.479206000000005</v>
      </c>
      <c r="L2145" s="5" t="str">
        <f>HYPERLINK("https://maps.google.com/?q=16.95558,-96.479206000000005", "🔗 Ver Mapa")</f>
        <v>🔗 Ver Mapa</v>
      </c>
    </row>
    <row r="2146" spans="1:12" ht="43.5" x14ac:dyDescent="0.35">
      <c r="A2146" s="6" t="s">
        <v>359</v>
      </c>
      <c r="B2146" s="6" t="s">
        <v>360</v>
      </c>
      <c r="C2146" s="6" t="s">
        <v>374</v>
      </c>
      <c r="D2146" s="6" t="s">
        <v>31</v>
      </c>
      <c r="E2146" s="6" t="s">
        <v>362</v>
      </c>
      <c r="F2146" s="6" t="s">
        <v>363</v>
      </c>
      <c r="G2146" s="6" t="s">
        <v>364</v>
      </c>
      <c r="H2146" s="6" t="s">
        <v>365</v>
      </c>
      <c r="I2146" s="6" t="s">
        <v>63</v>
      </c>
      <c r="J2146" s="6">
        <v>17.026216000000002</v>
      </c>
      <c r="K2146" s="6">
        <v>-97.928115000000005</v>
      </c>
      <c r="L2146" s="6" t="str">
        <f>HYPERLINK("https://maps.google.com/?q=17.026216,-97.928115000000005", "🔗 Ver Mapa")</f>
        <v>🔗 Ver Mapa</v>
      </c>
    </row>
    <row r="2147" spans="1:12" ht="43.5" x14ac:dyDescent="0.35">
      <c r="A2147" s="5" t="s">
        <v>359</v>
      </c>
      <c r="B2147" s="5" t="s">
        <v>360</v>
      </c>
      <c r="C2147" s="5" t="s">
        <v>374</v>
      </c>
      <c r="D2147" s="5" t="s">
        <v>31</v>
      </c>
      <c r="E2147" s="5" t="s">
        <v>362</v>
      </c>
      <c r="F2147" s="5" t="s">
        <v>363</v>
      </c>
      <c r="G2147" s="5" t="s">
        <v>364</v>
      </c>
      <c r="H2147" s="5" t="s">
        <v>365</v>
      </c>
      <c r="I2147" s="5" t="s">
        <v>63</v>
      </c>
      <c r="J2147" s="5">
        <v>17.027131000000001</v>
      </c>
      <c r="K2147" s="5">
        <v>-96.077044000000001</v>
      </c>
      <c r="L2147" s="5" t="str">
        <f>HYPERLINK("https://maps.google.com/?q=17.027131,-96.077044000000001", "🔗 Ver Mapa")</f>
        <v>🔗 Ver Mapa</v>
      </c>
    </row>
    <row r="2148" spans="1:12" ht="43.5" x14ac:dyDescent="0.35">
      <c r="A2148" s="6" t="s">
        <v>359</v>
      </c>
      <c r="B2148" s="6" t="s">
        <v>360</v>
      </c>
      <c r="C2148" s="6" t="s">
        <v>374</v>
      </c>
      <c r="D2148" s="6" t="s">
        <v>31</v>
      </c>
      <c r="E2148" s="6" t="s">
        <v>362</v>
      </c>
      <c r="F2148" s="6" t="s">
        <v>363</v>
      </c>
      <c r="G2148" s="6" t="s">
        <v>364</v>
      </c>
      <c r="H2148" s="6" t="s">
        <v>365</v>
      </c>
      <c r="I2148" s="6" t="s">
        <v>63</v>
      </c>
      <c r="J2148" s="6">
        <v>17.063777999999999</v>
      </c>
      <c r="K2148" s="6">
        <v>-96.729971000000006</v>
      </c>
      <c r="L2148" s="6" t="str">
        <f>HYPERLINK("https://maps.google.com/?q=17.063778,-96.729971000000006", "🔗 Ver Mapa")</f>
        <v>🔗 Ver Mapa</v>
      </c>
    </row>
    <row r="2149" spans="1:12" ht="43.5" x14ac:dyDescent="0.35">
      <c r="A2149" s="5" t="s">
        <v>359</v>
      </c>
      <c r="B2149" s="5" t="s">
        <v>360</v>
      </c>
      <c r="C2149" s="5" t="s">
        <v>374</v>
      </c>
      <c r="D2149" s="5" t="s">
        <v>31</v>
      </c>
      <c r="E2149" s="5" t="s">
        <v>362</v>
      </c>
      <c r="F2149" s="5" t="s">
        <v>363</v>
      </c>
      <c r="G2149" s="5" t="s">
        <v>364</v>
      </c>
      <c r="H2149" s="5" t="s">
        <v>365</v>
      </c>
      <c r="I2149" s="5" t="s">
        <v>63</v>
      </c>
      <c r="J2149" s="5">
        <v>17.207464000000002</v>
      </c>
      <c r="K2149" s="5">
        <v>-96.801094000000006</v>
      </c>
      <c r="L2149" s="5" t="str">
        <f>HYPERLINK("https://maps.google.com/?q=17.207464,-96.801094000000006", "🔗 Ver Mapa")</f>
        <v>🔗 Ver Mapa</v>
      </c>
    </row>
    <row r="2150" spans="1:12" ht="43.5" x14ac:dyDescent="0.35">
      <c r="A2150" s="6" t="s">
        <v>359</v>
      </c>
      <c r="B2150" s="6" t="s">
        <v>360</v>
      </c>
      <c r="C2150" s="6" t="s">
        <v>374</v>
      </c>
      <c r="D2150" s="6" t="s">
        <v>31</v>
      </c>
      <c r="E2150" s="6" t="s">
        <v>362</v>
      </c>
      <c r="F2150" s="6" t="s">
        <v>363</v>
      </c>
      <c r="G2150" s="6" t="s">
        <v>364</v>
      </c>
      <c r="H2150" s="6" t="s">
        <v>365</v>
      </c>
      <c r="I2150" s="6" t="s">
        <v>63</v>
      </c>
      <c r="J2150" s="6">
        <v>17.267448999999999</v>
      </c>
      <c r="K2150" s="6">
        <v>-97.680485000000004</v>
      </c>
      <c r="L2150" s="6" t="str">
        <f>HYPERLINK("https://maps.google.com/?q=17.267449,-97.680485000000004", "🔗 Ver Mapa")</f>
        <v>🔗 Ver Mapa</v>
      </c>
    </row>
    <row r="2151" spans="1:12" ht="43.5" x14ac:dyDescent="0.35">
      <c r="A2151" s="5" t="s">
        <v>359</v>
      </c>
      <c r="B2151" s="5" t="s">
        <v>360</v>
      </c>
      <c r="C2151" s="5" t="s">
        <v>374</v>
      </c>
      <c r="D2151" s="5" t="s">
        <v>31</v>
      </c>
      <c r="E2151" s="5" t="s">
        <v>362</v>
      </c>
      <c r="F2151" s="5" t="s">
        <v>363</v>
      </c>
      <c r="G2151" s="5" t="s">
        <v>364</v>
      </c>
      <c r="H2151" s="5" t="s">
        <v>365</v>
      </c>
      <c r="I2151" s="5" t="s">
        <v>63</v>
      </c>
      <c r="J2151" s="5">
        <v>17.331247999999999</v>
      </c>
      <c r="K2151" s="5">
        <v>-96.487900999999994</v>
      </c>
      <c r="L2151" s="5" t="str">
        <f>HYPERLINK("https://maps.google.com/?q=17.331248,-96.487900999999994", "🔗 Ver Mapa")</f>
        <v>🔗 Ver Mapa</v>
      </c>
    </row>
    <row r="2152" spans="1:12" ht="43.5" x14ac:dyDescent="0.35">
      <c r="A2152" s="6" t="s">
        <v>359</v>
      </c>
      <c r="B2152" s="6" t="s">
        <v>360</v>
      </c>
      <c r="C2152" s="6" t="s">
        <v>374</v>
      </c>
      <c r="D2152" s="6" t="s">
        <v>31</v>
      </c>
      <c r="E2152" s="6" t="s">
        <v>362</v>
      </c>
      <c r="F2152" s="6" t="s">
        <v>363</v>
      </c>
      <c r="G2152" s="6" t="s">
        <v>364</v>
      </c>
      <c r="H2152" s="6" t="s">
        <v>365</v>
      </c>
      <c r="I2152" s="6" t="s">
        <v>63</v>
      </c>
      <c r="J2152" s="6">
        <v>17.335315999999999</v>
      </c>
      <c r="K2152" s="6">
        <v>-98.012051</v>
      </c>
      <c r="L2152" s="6" t="str">
        <f>HYPERLINK("https://maps.google.com/?q=17.335316,-98.012051", "🔗 Ver Mapa")</f>
        <v>🔗 Ver Mapa</v>
      </c>
    </row>
    <row r="2153" spans="1:12" ht="43.5" x14ac:dyDescent="0.35">
      <c r="A2153" s="5" t="s">
        <v>359</v>
      </c>
      <c r="B2153" s="5" t="s">
        <v>360</v>
      </c>
      <c r="C2153" s="5" t="s">
        <v>374</v>
      </c>
      <c r="D2153" s="5" t="s">
        <v>31</v>
      </c>
      <c r="E2153" s="5" t="s">
        <v>362</v>
      </c>
      <c r="F2153" s="5" t="s">
        <v>363</v>
      </c>
      <c r="G2153" s="5" t="s">
        <v>364</v>
      </c>
      <c r="H2153" s="5" t="s">
        <v>365</v>
      </c>
      <c r="I2153" s="5" t="s">
        <v>63</v>
      </c>
      <c r="J2153" s="5">
        <v>17.338730000000002</v>
      </c>
      <c r="K2153" s="5">
        <v>-96.152553999999995</v>
      </c>
      <c r="L2153" s="5" t="str">
        <f>HYPERLINK("https://maps.google.com/?q=17.33873,-96.152553999999995", "🔗 Ver Mapa")</f>
        <v>🔗 Ver Mapa</v>
      </c>
    </row>
    <row r="2154" spans="1:12" ht="43.5" x14ac:dyDescent="0.35">
      <c r="A2154" s="6" t="s">
        <v>359</v>
      </c>
      <c r="B2154" s="6" t="s">
        <v>360</v>
      </c>
      <c r="C2154" s="6" t="s">
        <v>374</v>
      </c>
      <c r="D2154" s="6" t="s">
        <v>31</v>
      </c>
      <c r="E2154" s="6" t="s">
        <v>362</v>
      </c>
      <c r="F2154" s="6" t="s">
        <v>363</v>
      </c>
      <c r="G2154" s="6" t="s">
        <v>364</v>
      </c>
      <c r="H2154" s="6" t="s">
        <v>365</v>
      </c>
      <c r="I2154" s="6" t="s">
        <v>63</v>
      </c>
      <c r="J2154" s="6">
        <v>17.361765999999999</v>
      </c>
      <c r="K2154" s="6">
        <v>-95.922253999999995</v>
      </c>
      <c r="L2154" s="6" t="str">
        <f>HYPERLINK("https://maps.google.com/?q=17.361766,-95.922253999999995", "🔗 Ver Mapa")</f>
        <v>🔗 Ver Mapa</v>
      </c>
    </row>
    <row r="2155" spans="1:12" ht="43.5" x14ac:dyDescent="0.35">
      <c r="A2155" s="5" t="s">
        <v>359</v>
      </c>
      <c r="B2155" s="5" t="s">
        <v>360</v>
      </c>
      <c r="C2155" s="5" t="s">
        <v>374</v>
      </c>
      <c r="D2155" s="5" t="s">
        <v>31</v>
      </c>
      <c r="E2155" s="5" t="s">
        <v>362</v>
      </c>
      <c r="F2155" s="5" t="s">
        <v>363</v>
      </c>
      <c r="G2155" s="5" t="s">
        <v>364</v>
      </c>
      <c r="H2155" s="5" t="s">
        <v>365</v>
      </c>
      <c r="I2155" s="5" t="s">
        <v>63</v>
      </c>
      <c r="J2155" s="5">
        <v>17.458341000000001</v>
      </c>
      <c r="K2155" s="5">
        <v>-97.225285</v>
      </c>
      <c r="L2155" s="5" t="str">
        <f>HYPERLINK("https://maps.google.com/?q=17.458341,-97.225285", "🔗 Ver Mapa")</f>
        <v>🔗 Ver Mapa</v>
      </c>
    </row>
    <row r="2156" spans="1:12" ht="43.5" x14ac:dyDescent="0.35">
      <c r="A2156" s="6" t="s">
        <v>359</v>
      </c>
      <c r="B2156" s="6" t="s">
        <v>360</v>
      </c>
      <c r="C2156" s="6" t="s">
        <v>374</v>
      </c>
      <c r="D2156" s="6" t="s">
        <v>31</v>
      </c>
      <c r="E2156" s="6" t="s">
        <v>362</v>
      </c>
      <c r="F2156" s="6" t="s">
        <v>363</v>
      </c>
      <c r="G2156" s="6" t="s">
        <v>364</v>
      </c>
      <c r="H2156" s="6" t="s">
        <v>365</v>
      </c>
      <c r="I2156" s="6" t="s">
        <v>63</v>
      </c>
      <c r="J2156" s="6">
        <v>17.501442000000001</v>
      </c>
      <c r="K2156" s="6">
        <v>-98.142583999999999</v>
      </c>
      <c r="L2156" s="6" t="str">
        <f>HYPERLINK("https://maps.google.com/?q=17.501442,-98.142583999999999", "🔗 Ver Mapa")</f>
        <v>🔗 Ver Mapa</v>
      </c>
    </row>
    <row r="2157" spans="1:12" ht="43.5" x14ac:dyDescent="0.35">
      <c r="A2157" s="5" t="s">
        <v>359</v>
      </c>
      <c r="B2157" s="5" t="s">
        <v>360</v>
      </c>
      <c r="C2157" s="5" t="s">
        <v>374</v>
      </c>
      <c r="D2157" s="5" t="s">
        <v>31</v>
      </c>
      <c r="E2157" s="5" t="s">
        <v>362</v>
      </c>
      <c r="F2157" s="5" t="s">
        <v>363</v>
      </c>
      <c r="G2157" s="5" t="s">
        <v>364</v>
      </c>
      <c r="H2157" s="5" t="s">
        <v>365</v>
      </c>
      <c r="I2157" s="5" t="s">
        <v>63</v>
      </c>
      <c r="J2157" s="5">
        <v>17.511838000000001</v>
      </c>
      <c r="K2157" s="5">
        <v>-97.488547999999994</v>
      </c>
      <c r="L2157" s="5" t="str">
        <f>HYPERLINK("https://maps.google.com/?q=17.511838,-97.488547999999994", "🔗 Ver Mapa")</f>
        <v>🔗 Ver Mapa</v>
      </c>
    </row>
    <row r="2158" spans="1:12" ht="43.5" x14ac:dyDescent="0.35">
      <c r="A2158" s="6" t="s">
        <v>359</v>
      </c>
      <c r="B2158" s="6" t="s">
        <v>360</v>
      </c>
      <c r="C2158" s="6" t="s">
        <v>374</v>
      </c>
      <c r="D2158" s="6" t="s">
        <v>31</v>
      </c>
      <c r="E2158" s="6" t="s">
        <v>362</v>
      </c>
      <c r="F2158" s="6" t="s">
        <v>363</v>
      </c>
      <c r="G2158" s="6" t="s">
        <v>364</v>
      </c>
      <c r="H2158" s="6" t="s">
        <v>365</v>
      </c>
      <c r="I2158" s="6" t="s">
        <v>63</v>
      </c>
      <c r="J2158" s="6">
        <v>17.724615</v>
      </c>
      <c r="K2158" s="6">
        <v>-97.323898</v>
      </c>
      <c r="L2158" s="6" t="str">
        <f>HYPERLINK("https://maps.google.com/?q=17.724615,-97.323898", "🔗 Ver Mapa")</f>
        <v>🔗 Ver Mapa</v>
      </c>
    </row>
    <row r="2159" spans="1:12" ht="43.5" x14ac:dyDescent="0.35">
      <c r="A2159" s="5" t="s">
        <v>359</v>
      </c>
      <c r="B2159" s="5" t="s">
        <v>360</v>
      </c>
      <c r="C2159" s="5" t="s">
        <v>374</v>
      </c>
      <c r="D2159" s="5" t="s">
        <v>31</v>
      </c>
      <c r="E2159" s="5" t="s">
        <v>362</v>
      </c>
      <c r="F2159" s="5" t="s">
        <v>363</v>
      </c>
      <c r="G2159" s="5" t="s">
        <v>364</v>
      </c>
      <c r="H2159" s="5" t="s">
        <v>365</v>
      </c>
      <c r="I2159" s="5" t="s">
        <v>63</v>
      </c>
      <c r="J2159" s="5">
        <v>17.801687000000001</v>
      </c>
      <c r="K2159" s="5">
        <v>-96.959688</v>
      </c>
      <c r="L2159" s="5" t="str">
        <f>HYPERLINK("https://maps.google.com/?q=17.801687,-96.959688", "🔗 Ver Mapa")</f>
        <v>🔗 Ver Mapa</v>
      </c>
    </row>
    <row r="2160" spans="1:12" ht="43.5" x14ac:dyDescent="0.35">
      <c r="A2160" s="6" t="s">
        <v>359</v>
      </c>
      <c r="B2160" s="6" t="s">
        <v>360</v>
      </c>
      <c r="C2160" s="6" t="s">
        <v>374</v>
      </c>
      <c r="D2160" s="6" t="s">
        <v>31</v>
      </c>
      <c r="E2160" s="6" t="s">
        <v>362</v>
      </c>
      <c r="F2160" s="6" t="s">
        <v>363</v>
      </c>
      <c r="G2160" s="6" t="s">
        <v>364</v>
      </c>
      <c r="H2160" s="6" t="s">
        <v>365</v>
      </c>
      <c r="I2160" s="6" t="s">
        <v>63</v>
      </c>
      <c r="J2160" s="6">
        <v>17.806621</v>
      </c>
      <c r="K2160" s="6">
        <v>-97.776161999999999</v>
      </c>
      <c r="L2160" s="6" t="str">
        <f>HYPERLINK("https://maps.google.com/?q=17.806621,-97.776161999999999", "🔗 Ver Mapa")</f>
        <v>🔗 Ver Mapa</v>
      </c>
    </row>
    <row r="2161" spans="1:12" ht="43.5" x14ac:dyDescent="0.35">
      <c r="A2161" s="5" t="s">
        <v>359</v>
      </c>
      <c r="B2161" s="5" t="s">
        <v>360</v>
      </c>
      <c r="C2161" s="5" t="s">
        <v>374</v>
      </c>
      <c r="D2161" s="5" t="s">
        <v>31</v>
      </c>
      <c r="E2161" s="5" t="s">
        <v>362</v>
      </c>
      <c r="F2161" s="5" t="s">
        <v>363</v>
      </c>
      <c r="G2161" s="5" t="s">
        <v>364</v>
      </c>
      <c r="H2161" s="5" t="s">
        <v>365</v>
      </c>
      <c r="I2161" s="5" t="s">
        <v>63</v>
      </c>
      <c r="J2161" s="5">
        <v>18.081168999999999</v>
      </c>
      <c r="K2161" s="5">
        <v>-96.118475000000004</v>
      </c>
      <c r="L2161" s="5" t="str">
        <f>HYPERLINK("https://maps.google.com/?q=18.081169,-96.118475000000004", "🔗 Ver Mapa")</f>
        <v>🔗 Ver Mapa</v>
      </c>
    </row>
    <row r="2162" spans="1:12" ht="43.5" x14ac:dyDescent="0.35">
      <c r="A2162" s="6" t="s">
        <v>359</v>
      </c>
      <c r="B2162" s="6" t="s">
        <v>360</v>
      </c>
      <c r="C2162" s="6" t="s">
        <v>374</v>
      </c>
      <c r="D2162" s="6" t="s">
        <v>31</v>
      </c>
      <c r="E2162" s="6" t="s">
        <v>362</v>
      </c>
      <c r="F2162" s="6" t="s">
        <v>363</v>
      </c>
      <c r="G2162" s="6" t="s">
        <v>364</v>
      </c>
      <c r="H2162" s="6" t="s">
        <v>365</v>
      </c>
      <c r="I2162" s="6" t="s">
        <v>63</v>
      </c>
      <c r="J2162" s="6">
        <v>18.13222</v>
      </c>
      <c r="K2162" s="6">
        <v>-97.070751000000001</v>
      </c>
      <c r="L2162" s="6" t="str">
        <f>HYPERLINK("https://maps.google.com/?q=18.13222,-97.070751000000001", "🔗 Ver Mapa")</f>
        <v>🔗 Ver Mapa</v>
      </c>
    </row>
    <row r="2163" spans="1:12" ht="43.5" x14ac:dyDescent="0.35">
      <c r="A2163" s="5" t="s">
        <v>359</v>
      </c>
      <c r="B2163" s="5" t="s">
        <v>360</v>
      </c>
      <c r="C2163" s="5" t="s">
        <v>375</v>
      </c>
      <c r="D2163" s="5" t="s">
        <v>31</v>
      </c>
      <c r="E2163" s="5" t="s">
        <v>362</v>
      </c>
      <c r="F2163" s="5" t="s">
        <v>363</v>
      </c>
      <c r="G2163" s="5" t="s">
        <v>364</v>
      </c>
      <c r="H2163" s="5" t="s">
        <v>365</v>
      </c>
      <c r="I2163" s="5" t="s">
        <v>63</v>
      </c>
      <c r="J2163" s="5">
        <v>15.746143999999999</v>
      </c>
      <c r="K2163" s="5">
        <v>-96.465182999999996</v>
      </c>
      <c r="L2163" s="5" t="str">
        <f>HYPERLINK("https://maps.google.com/?q=15.746144,-96.465182999999996", "🔗 Ver Mapa")</f>
        <v>🔗 Ver Mapa</v>
      </c>
    </row>
    <row r="2164" spans="1:12" ht="43.5" x14ac:dyDescent="0.35">
      <c r="A2164" s="6" t="s">
        <v>359</v>
      </c>
      <c r="B2164" s="6" t="s">
        <v>360</v>
      </c>
      <c r="C2164" s="6" t="s">
        <v>375</v>
      </c>
      <c r="D2164" s="6" t="s">
        <v>31</v>
      </c>
      <c r="E2164" s="6" t="s">
        <v>362</v>
      </c>
      <c r="F2164" s="6" t="s">
        <v>363</v>
      </c>
      <c r="G2164" s="6" t="s">
        <v>364</v>
      </c>
      <c r="H2164" s="6" t="s">
        <v>365</v>
      </c>
      <c r="I2164" s="6" t="s">
        <v>63</v>
      </c>
      <c r="J2164" s="6">
        <v>16.237075999999998</v>
      </c>
      <c r="K2164" s="6">
        <v>-97.292351999999994</v>
      </c>
      <c r="L2164" s="6" t="str">
        <f>HYPERLINK("https://maps.google.com/?q=16.237076,-97.292351999999994", "🔗 Ver Mapa")</f>
        <v>🔗 Ver Mapa</v>
      </c>
    </row>
    <row r="2165" spans="1:12" ht="43.5" x14ac:dyDescent="0.35">
      <c r="A2165" s="5" t="s">
        <v>359</v>
      </c>
      <c r="B2165" s="5" t="s">
        <v>360</v>
      </c>
      <c r="C2165" s="5" t="s">
        <v>375</v>
      </c>
      <c r="D2165" s="5" t="s">
        <v>31</v>
      </c>
      <c r="E2165" s="5" t="s">
        <v>362</v>
      </c>
      <c r="F2165" s="5" t="s">
        <v>363</v>
      </c>
      <c r="G2165" s="5" t="s">
        <v>364</v>
      </c>
      <c r="H2165" s="5" t="s">
        <v>365</v>
      </c>
      <c r="I2165" s="5" t="s">
        <v>63</v>
      </c>
      <c r="J2165" s="5">
        <v>16.279057999999999</v>
      </c>
      <c r="K2165" s="5">
        <v>-97.820240999999996</v>
      </c>
      <c r="L2165" s="5" t="str">
        <f>HYPERLINK("https://maps.google.com/?q=16.279058,-97.820240999999996", "🔗 Ver Mapa")</f>
        <v>🔗 Ver Mapa</v>
      </c>
    </row>
    <row r="2166" spans="1:12" ht="43.5" x14ac:dyDescent="0.35">
      <c r="A2166" s="6" t="s">
        <v>359</v>
      </c>
      <c r="B2166" s="6" t="s">
        <v>360</v>
      </c>
      <c r="C2166" s="6" t="s">
        <v>375</v>
      </c>
      <c r="D2166" s="6" t="s">
        <v>31</v>
      </c>
      <c r="E2166" s="6" t="s">
        <v>362</v>
      </c>
      <c r="F2166" s="6" t="s">
        <v>363</v>
      </c>
      <c r="G2166" s="6" t="s">
        <v>364</v>
      </c>
      <c r="H2166" s="6" t="s">
        <v>365</v>
      </c>
      <c r="I2166" s="6" t="s">
        <v>63</v>
      </c>
      <c r="J2166" s="6">
        <v>16.328751</v>
      </c>
      <c r="K2166" s="6">
        <v>-96.596529000000004</v>
      </c>
      <c r="L2166" s="6" t="str">
        <f>HYPERLINK("https://maps.google.com/?q=16.328751,-96.596529000000004", "🔗 Ver Mapa")</f>
        <v>🔗 Ver Mapa</v>
      </c>
    </row>
    <row r="2167" spans="1:12" ht="43.5" x14ac:dyDescent="0.35">
      <c r="A2167" s="5" t="s">
        <v>359</v>
      </c>
      <c r="B2167" s="5" t="s">
        <v>360</v>
      </c>
      <c r="C2167" s="5" t="s">
        <v>375</v>
      </c>
      <c r="D2167" s="5" t="s">
        <v>31</v>
      </c>
      <c r="E2167" s="5" t="s">
        <v>362</v>
      </c>
      <c r="F2167" s="5" t="s">
        <v>363</v>
      </c>
      <c r="G2167" s="5" t="s">
        <v>364</v>
      </c>
      <c r="H2167" s="5" t="s">
        <v>365</v>
      </c>
      <c r="I2167" s="5" t="s">
        <v>63</v>
      </c>
      <c r="J2167" s="5">
        <v>16.332014000000001</v>
      </c>
      <c r="K2167" s="5">
        <v>-95.231966</v>
      </c>
      <c r="L2167" s="5" t="str">
        <f>HYPERLINK("https://maps.google.com/?q=16.332014,-95.231966", "🔗 Ver Mapa")</f>
        <v>🔗 Ver Mapa</v>
      </c>
    </row>
    <row r="2168" spans="1:12" ht="43.5" x14ac:dyDescent="0.35">
      <c r="A2168" s="6" t="s">
        <v>359</v>
      </c>
      <c r="B2168" s="6" t="s">
        <v>360</v>
      </c>
      <c r="C2168" s="6" t="s">
        <v>375</v>
      </c>
      <c r="D2168" s="6" t="s">
        <v>31</v>
      </c>
      <c r="E2168" s="6" t="s">
        <v>362</v>
      </c>
      <c r="F2168" s="6" t="s">
        <v>363</v>
      </c>
      <c r="G2168" s="6" t="s">
        <v>364</v>
      </c>
      <c r="H2168" s="6" t="s">
        <v>365</v>
      </c>
      <c r="I2168" s="6" t="s">
        <v>63</v>
      </c>
      <c r="J2168" s="6">
        <v>16.433347000000001</v>
      </c>
      <c r="K2168" s="6">
        <v>-95.021687</v>
      </c>
      <c r="L2168" s="6" t="str">
        <f>HYPERLINK("https://maps.google.com/?q=16.433347,-95.021687", "🔗 Ver Mapa")</f>
        <v>🔗 Ver Mapa</v>
      </c>
    </row>
    <row r="2169" spans="1:12" ht="43.5" x14ac:dyDescent="0.35">
      <c r="A2169" s="5" t="s">
        <v>359</v>
      </c>
      <c r="B2169" s="5" t="s">
        <v>360</v>
      </c>
      <c r="C2169" s="5" t="s">
        <v>375</v>
      </c>
      <c r="D2169" s="5" t="s">
        <v>31</v>
      </c>
      <c r="E2169" s="5" t="s">
        <v>362</v>
      </c>
      <c r="F2169" s="5" t="s">
        <v>363</v>
      </c>
      <c r="G2169" s="5" t="s">
        <v>364</v>
      </c>
      <c r="H2169" s="5" t="s">
        <v>365</v>
      </c>
      <c r="I2169" s="5" t="s">
        <v>63</v>
      </c>
      <c r="J2169" s="5">
        <v>16.500512000000001</v>
      </c>
      <c r="K2169" s="5">
        <v>-96.106790000000004</v>
      </c>
      <c r="L2169" s="5" t="str">
        <f>HYPERLINK("https://maps.google.com/?q=16.500512,-96.106790000000004", "🔗 Ver Mapa")</f>
        <v>🔗 Ver Mapa</v>
      </c>
    </row>
    <row r="2170" spans="1:12" ht="43.5" x14ac:dyDescent="0.35">
      <c r="A2170" s="6" t="s">
        <v>359</v>
      </c>
      <c r="B2170" s="6" t="s">
        <v>360</v>
      </c>
      <c r="C2170" s="6" t="s">
        <v>375</v>
      </c>
      <c r="D2170" s="6" t="s">
        <v>31</v>
      </c>
      <c r="E2170" s="6" t="s">
        <v>362</v>
      </c>
      <c r="F2170" s="6" t="s">
        <v>363</v>
      </c>
      <c r="G2170" s="6" t="s">
        <v>364</v>
      </c>
      <c r="H2170" s="6" t="s">
        <v>365</v>
      </c>
      <c r="I2170" s="6" t="s">
        <v>63</v>
      </c>
      <c r="J2170" s="6">
        <v>16.519807</v>
      </c>
      <c r="K2170" s="6">
        <v>-96.983885000000001</v>
      </c>
      <c r="L2170" s="6" t="str">
        <f>HYPERLINK("https://maps.google.com/?q=16.519807,-96.983885000000001", "🔗 Ver Mapa")</f>
        <v>🔗 Ver Mapa</v>
      </c>
    </row>
    <row r="2171" spans="1:12" ht="43.5" x14ac:dyDescent="0.35">
      <c r="A2171" s="5" t="s">
        <v>359</v>
      </c>
      <c r="B2171" s="5" t="s">
        <v>360</v>
      </c>
      <c r="C2171" s="5" t="s">
        <v>375</v>
      </c>
      <c r="D2171" s="5" t="s">
        <v>31</v>
      </c>
      <c r="E2171" s="5" t="s">
        <v>362</v>
      </c>
      <c r="F2171" s="5" t="s">
        <v>363</v>
      </c>
      <c r="G2171" s="5" t="s">
        <v>364</v>
      </c>
      <c r="H2171" s="5" t="s">
        <v>365</v>
      </c>
      <c r="I2171" s="5" t="s">
        <v>63</v>
      </c>
      <c r="J2171" s="5">
        <v>16.564243999999999</v>
      </c>
      <c r="K2171" s="5">
        <v>-96.731829000000005</v>
      </c>
      <c r="L2171" s="5" t="str">
        <f>HYPERLINK("https://maps.google.com/?q=16.564244,-96.731829000000005", "🔗 Ver Mapa")</f>
        <v>🔗 Ver Mapa</v>
      </c>
    </row>
    <row r="2172" spans="1:12" ht="43.5" x14ac:dyDescent="0.35">
      <c r="A2172" s="6" t="s">
        <v>359</v>
      </c>
      <c r="B2172" s="6" t="s">
        <v>360</v>
      </c>
      <c r="C2172" s="6" t="s">
        <v>375</v>
      </c>
      <c r="D2172" s="6" t="s">
        <v>31</v>
      </c>
      <c r="E2172" s="6" t="s">
        <v>362</v>
      </c>
      <c r="F2172" s="6" t="s">
        <v>363</v>
      </c>
      <c r="G2172" s="6" t="s">
        <v>364</v>
      </c>
      <c r="H2172" s="6" t="s">
        <v>365</v>
      </c>
      <c r="I2172" s="6" t="s">
        <v>63</v>
      </c>
      <c r="J2172" s="6">
        <v>16.791625</v>
      </c>
      <c r="K2172" s="6">
        <v>-96.674999</v>
      </c>
      <c r="L2172" s="6" t="str">
        <f>HYPERLINK("https://maps.google.com/?q=16.791625,-96.674999", "🔗 Ver Mapa")</f>
        <v>🔗 Ver Mapa</v>
      </c>
    </row>
    <row r="2173" spans="1:12" ht="43.5" x14ac:dyDescent="0.35">
      <c r="A2173" s="5" t="s">
        <v>359</v>
      </c>
      <c r="B2173" s="5" t="s">
        <v>360</v>
      </c>
      <c r="C2173" s="5" t="s">
        <v>375</v>
      </c>
      <c r="D2173" s="5" t="s">
        <v>31</v>
      </c>
      <c r="E2173" s="5" t="s">
        <v>362</v>
      </c>
      <c r="F2173" s="5" t="s">
        <v>363</v>
      </c>
      <c r="G2173" s="5" t="s">
        <v>364</v>
      </c>
      <c r="H2173" s="5" t="s">
        <v>365</v>
      </c>
      <c r="I2173" s="5" t="s">
        <v>63</v>
      </c>
      <c r="J2173" s="5">
        <v>16.866371000000001</v>
      </c>
      <c r="K2173" s="5">
        <v>-96.785623000000001</v>
      </c>
      <c r="L2173" s="5" t="str">
        <f>HYPERLINK("https://maps.google.com/?q=16.866371,-96.785623000000001", "🔗 Ver Mapa")</f>
        <v>🔗 Ver Mapa</v>
      </c>
    </row>
    <row r="2174" spans="1:12" ht="43.5" x14ac:dyDescent="0.35">
      <c r="A2174" s="6" t="s">
        <v>359</v>
      </c>
      <c r="B2174" s="6" t="s">
        <v>360</v>
      </c>
      <c r="C2174" s="6" t="s">
        <v>375</v>
      </c>
      <c r="D2174" s="6" t="s">
        <v>31</v>
      </c>
      <c r="E2174" s="6" t="s">
        <v>362</v>
      </c>
      <c r="F2174" s="6" t="s">
        <v>363</v>
      </c>
      <c r="G2174" s="6" t="s">
        <v>364</v>
      </c>
      <c r="H2174" s="6" t="s">
        <v>365</v>
      </c>
      <c r="I2174" s="6" t="s">
        <v>63</v>
      </c>
      <c r="J2174" s="6">
        <v>16.950706</v>
      </c>
      <c r="K2174" s="6">
        <v>-96.750504000000006</v>
      </c>
      <c r="L2174" s="6" t="str">
        <f>HYPERLINK("https://maps.google.com/?q=16.950706,-96.750504000000006", "🔗 Ver Mapa")</f>
        <v>🔗 Ver Mapa</v>
      </c>
    </row>
    <row r="2175" spans="1:12" ht="43.5" x14ac:dyDescent="0.35">
      <c r="A2175" s="5" t="s">
        <v>359</v>
      </c>
      <c r="B2175" s="5" t="s">
        <v>360</v>
      </c>
      <c r="C2175" s="5" t="s">
        <v>375</v>
      </c>
      <c r="D2175" s="5" t="s">
        <v>31</v>
      </c>
      <c r="E2175" s="5" t="s">
        <v>362</v>
      </c>
      <c r="F2175" s="5" t="s">
        <v>363</v>
      </c>
      <c r="G2175" s="5" t="s">
        <v>364</v>
      </c>
      <c r="H2175" s="5" t="s">
        <v>365</v>
      </c>
      <c r="I2175" s="5" t="s">
        <v>63</v>
      </c>
      <c r="J2175" s="5">
        <v>16.955580000000001</v>
      </c>
      <c r="K2175" s="5">
        <v>-96.479206000000005</v>
      </c>
      <c r="L2175" s="5" t="str">
        <f>HYPERLINK("https://maps.google.com/?q=16.95558,-96.479206000000005", "🔗 Ver Mapa")</f>
        <v>🔗 Ver Mapa</v>
      </c>
    </row>
    <row r="2176" spans="1:12" ht="43.5" x14ac:dyDescent="0.35">
      <c r="A2176" s="6" t="s">
        <v>359</v>
      </c>
      <c r="B2176" s="6" t="s">
        <v>360</v>
      </c>
      <c r="C2176" s="6" t="s">
        <v>375</v>
      </c>
      <c r="D2176" s="6" t="s">
        <v>31</v>
      </c>
      <c r="E2176" s="6" t="s">
        <v>362</v>
      </c>
      <c r="F2176" s="6" t="s">
        <v>363</v>
      </c>
      <c r="G2176" s="6" t="s">
        <v>364</v>
      </c>
      <c r="H2176" s="6" t="s">
        <v>365</v>
      </c>
      <c r="I2176" s="6" t="s">
        <v>63</v>
      </c>
      <c r="J2176" s="6">
        <v>17.026216000000002</v>
      </c>
      <c r="K2176" s="6">
        <v>-97.928115000000005</v>
      </c>
      <c r="L2176" s="6" t="str">
        <f>HYPERLINK("https://maps.google.com/?q=17.026216,-97.928115000000005", "🔗 Ver Mapa")</f>
        <v>🔗 Ver Mapa</v>
      </c>
    </row>
    <row r="2177" spans="1:12" ht="43.5" x14ac:dyDescent="0.35">
      <c r="A2177" s="5" t="s">
        <v>359</v>
      </c>
      <c r="B2177" s="5" t="s">
        <v>360</v>
      </c>
      <c r="C2177" s="5" t="s">
        <v>375</v>
      </c>
      <c r="D2177" s="5" t="s">
        <v>31</v>
      </c>
      <c r="E2177" s="5" t="s">
        <v>362</v>
      </c>
      <c r="F2177" s="5" t="s">
        <v>363</v>
      </c>
      <c r="G2177" s="5" t="s">
        <v>364</v>
      </c>
      <c r="H2177" s="5" t="s">
        <v>365</v>
      </c>
      <c r="I2177" s="5" t="s">
        <v>63</v>
      </c>
      <c r="J2177" s="5">
        <v>17.027131000000001</v>
      </c>
      <c r="K2177" s="5">
        <v>-96.077044000000001</v>
      </c>
      <c r="L2177" s="5" t="str">
        <f>HYPERLINK("https://maps.google.com/?q=17.027131,-96.077044000000001", "🔗 Ver Mapa")</f>
        <v>🔗 Ver Mapa</v>
      </c>
    </row>
    <row r="2178" spans="1:12" ht="43.5" x14ac:dyDescent="0.35">
      <c r="A2178" s="6" t="s">
        <v>359</v>
      </c>
      <c r="B2178" s="6" t="s">
        <v>360</v>
      </c>
      <c r="C2178" s="6" t="s">
        <v>375</v>
      </c>
      <c r="D2178" s="6" t="s">
        <v>31</v>
      </c>
      <c r="E2178" s="6" t="s">
        <v>362</v>
      </c>
      <c r="F2178" s="6" t="s">
        <v>363</v>
      </c>
      <c r="G2178" s="6" t="s">
        <v>364</v>
      </c>
      <c r="H2178" s="6" t="s">
        <v>365</v>
      </c>
      <c r="I2178" s="6" t="s">
        <v>63</v>
      </c>
      <c r="J2178" s="6">
        <v>17.063777999999999</v>
      </c>
      <c r="K2178" s="6">
        <v>-96.729971000000006</v>
      </c>
      <c r="L2178" s="6" t="str">
        <f>HYPERLINK("https://maps.google.com/?q=17.063778,-96.729971000000006", "🔗 Ver Mapa")</f>
        <v>🔗 Ver Mapa</v>
      </c>
    </row>
    <row r="2179" spans="1:12" ht="43.5" x14ac:dyDescent="0.35">
      <c r="A2179" s="5" t="s">
        <v>359</v>
      </c>
      <c r="B2179" s="5" t="s">
        <v>360</v>
      </c>
      <c r="C2179" s="5" t="s">
        <v>375</v>
      </c>
      <c r="D2179" s="5" t="s">
        <v>31</v>
      </c>
      <c r="E2179" s="5" t="s">
        <v>362</v>
      </c>
      <c r="F2179" s="5" t="s">
        <v>363</v>
      </c>
      <c r="G2179" s="5" t="s">
        <v>364</v>
      </c>
      <c r="H2179" s="5" t="s">
        <v>365</v>
      </c>
      <c r="I2179" s="5" t="s">
        <v>63</v>
      </c>
      <c r="J2179" s="5">
        <v>17.207464000000002</v>
      </c>
      <c r="K2179" s="5">
        <v>-96.801094000000006</v>
      </c>
      <c r="L2179" s="5" t="str">
        <f>HYPERLINK("https://maps.google.com/?q=17.207464,-96.801094000000006", "🔗 Ver Mapa")</f>
        <v>🔗 Ver Mapa</v>
      </c>
    </row>
    <row r="2180" spans="1:12" ht="43.5" x14ac:dyDescent="0.35">
      <c r="A2180" s="6" t="s">
        <v>359</v>
      </c>
      <c r="B2180" s="6" t="s">
        <v>360</v>
      </c>
      <c r="C2180" s="6" t="s">
        <v>375</v>
      </c>
      <c r="D2180" s="6" t="s">
        <v>31</v>
      </c>
      <c r="E2180" s="6" t="s">
        <v>362</v>
      </c>
      <c r="F2180" s="6" t="s">
        <v>363</v>
      </c>
      <c r="G2180" s="6" t="s">
        <v>364</v>
      </c>
      <c r="H2180" s="6" t="s">
        <v>365</v>
      </c>
      <c r="I2180" s="6" t="s">
        <v>63</v>
      </c>
      <c r="J2180" s="6">
        <v>17.267448999999999</v>
      </c>
      <c r="K2180" s="6">
        <v>-97.680485000000004</v>
      </c>
      <c r="L2180" s="6" t="str">
        <f>HYPERLINK("https://maps.google.com/?q=17.267449,-97.680485000000004", "🔗 Ver Mapa")</f>
        <v>🔗 Ver Mapa</v>
      </c>
    </row>
    <row r="2181" spans="1:12" ht="43.5" x14ac:dyDescent="0.35">
      <c r="A2181" s="5" t="s">
        <v>359</v>
      </c>
      <c r="B2181" s="5" t="s">
        <v>360</v>
      </c>
      <c r="C2181" s="5" t="s">
        <v>375</v>
      </c>
      <c r="D2181" s="5" t="s">
        <v>31</v>
      </c>
      <c r="E2181" s="5" t="s">
        <v>362</v>
      </c>
      <c r="F2181" s="5" t="s">
        <v>363</v>
      </c>
      <c r="G2181" s="5" t="s">
        <v>364</v>
      </c>
      <c r="H2181" s="5" t="s">
        <v>365</v>
      </c>
      <c r="I2181" s="5" t="s">
        <v>63</v>
      </c>
      <c r="J2181" s="5">
        <v>17.331247999999999</v>
      </c>
      <c r="K2181" s="5">
        <v>-96.487900999999994</v>
      </c>
      <c r="L2181" s="5" t="str">
        <f>HYPERLINK("https://maps.google.com/?q=17.331248,-96.487900999999994", "🔗 Ver Mapa")</f>
        <v>🔗 Ver Mapa</v>
      </c>
    </row>
    <row r="2182" spans="1:12" ht="43.5" x14ac:dyDescent="0.35">
      <c r="A2182" s="6" t="s">
        <v>359</v>
      </c>
      <c r="B2182" s="6" t="s">
        <v>360</v>
      </c>
      <c r="C2182" s="6" t="s">
        <v>375</v>
      </c>
      <c r="D2182" s="6" t="s">
        <v>31</v>
      </c>
      <c r="E2182" s="6" t="s">
        <v>362</v>
      </c>
      <c r="F2182" s="6" t="s">
        <v>363</v>
      </c>
      <c r="G2182" s="6" t="s">
        <v>364</v>
      </c>
      <c r="H2182" s="6" t="s">
        <v>365</v>
      </c>
      <c r="I2182" s="6" t="s">
        <v>63</v>
      </c>
      <c r="J2182" s="6">
        <v>17.335315999999999</v>
      </c>
      <c r="K2182" s="6">
        <v>-98.012051</v>
      </c>
      <c r="L2182" s="6" t="str">
        <f>HYPERLINK("https://maps.google.com/?q=17.335316,-98.012051", "🔗 Ver Mapa")</f>
        <v>🔗 Ver Mapa</v>
      </c>
    </row>
    <row r="2183" spans="1:12" ht="43.5" x14ac:dyDescent="0.35">
      <c r="A2183" s="5" t="s">
        <v>359</v>
      </c>
      <c r="B2183" s="5" t="s">
        <v>360</v>
      </c>
      <c r="C2183" s="5" t="s">
        <v>375</v>
      </c>
      <c r="D2183" s="5" t="s">
        <v>31</v>
      </c>
      <c r="E2183" s="5" t="s">
        <v>362</v>
      </c>
      <c r="F2183" s="5" t="s">
        <v>363</v>
      </c>
      <c r="G2183" s="5" t="s">
        <v>364</v>
      </c>
      <c r="H2183" s="5" t="s">
        <v>365</v>
      </c>
      <c r="I2183" s="5" t="s">
        <v>63</v>
      </c>
      <c r="J2183" s="5">
        <v>17.338730000000002</v>
      </c>
      <c r="K2183" s="5">
        <v>-96.152553999999995</v>
      </c>
      <c r="L2183" s="5" t="str">
        <f>HYPERLINK("https://maps.google.com/?q=17.33873,-96.152553999999995", "🔗 Ver Mapa")</f>
        <v>🔗 Ver Mapa</v>
      </c>
    </row>
    <row r="2184" spans="1:12" ht="43.5" x14ac:dyDescent="0.35">
      <c r="A2184" s="6" t="s">
        <v>359</v>
      </c>
      <c r="B2184" s="6" t="s">
        <v>360</v>
      </c>
      <c r="C2184" s="6" t="s">
        <v>375</v>
      </c>
      <c r="D2184" s="6" t="s">
        <v>31</v>
      </c>
      <c r="E2184" s="6" t="s">
        <v>362</v>
      </c>
      <c r="F2184" s="6" t="s">
        <v>363</v>
      </c>
      <c r="G2184" s="6" t="s">
        <v>364</v>
      </c>
      <c r="H2184" s="6" t="s">
        <v>365</v>
      </c>
      <c r="I2184" s="6" t="s">
        <v>63</v>
      </c>
      <c r="J2184" s="6">
        <v>17.361765999999999</v>
      </c>
      <c r="K2184" s="6">
        <v>-95.922253999999995</v>
      </c>
      <c r="L2184" s="6" t="str">
        <f>HYPERLINK("https://maps.google.com/?q=17.361766,-95.922253999999995", "🔗 Ver Mapa")</f>
        <v>🔗 Ver Mapa</v>
      </c>
    </row>
    <row r="2185" spans="1:12" ht="43.5" x14ac:dyDescent="0.35">
      <c r="A2185" s="5" t="s">
        <v>359</v>
      </c>
      <c r="B2185" s="5" t="s">
        <v>360</v>
      </c>
      <c r="C2185" s="5" t="s">
        <v>375</v>
      </c>
      <c r="D2185" s="5" t="s">
        <v>31</v>
      </c>
      <c r="E2185" s="5" t="s">
        <v>362</v>
      </c>
      <c r="F2185" s="5" t="s">
        <v>363</v>
      </c>
      <c r="G2185" s="5" t="s">
        <v>364</v>
      </c>
      <c r="H2185" s="5" t="s">
        <v>365</v>
      </c>
      <c r="I2185" s="5" t="s">
        <v>63</v>
      </c>
      <c r="J2185" s="5">
        <v>17.458341000000001</v>
      </c>
      <c r="K2185" s="5">
        <v>-97.225285</v>
      </c>
      <c r="L2185" s="5" t="str">
        <f>HYPERLINK("https://maps.google.com/?q=17.458341,-97.225285", "🔗 Ver Mapa")</f>
        <v>🔗 Ver Mapa</v>
      </c>
    </row>
    <row r="2186" spans="1:12" ht="43.5" x14ac:dyDescent="0.35">
      <c r="A2186" s="6" t="s">
        <v>359</v>
      </c>
      <c r="B2186" s="6" t="s">
        <v>360</v>
      </c>
      <c r="C2186" s="6" t="s">
        <v>375</v>
      </c>
      <c r="D2186" s="6" t="s">
        <v>31</v>
      </c>
      <c r="E2186" s="6" t="s">
        <v>362</v>
      </c>
      <c r="F2186" s="6" t="s">
        <v>363</v>
      </c>
      <c r="G2186" s="6" t="s">
        <v>364</v>
      </c>
      <c r="H2186" s="6" t="s">
        <v>365</v>
      </c>
      <c r="I2186" s="6" t="s">
        <v>63</v>
      </c>
      <c r="J2186" s="6">
        <v>17.501442000000001</v>
      </c>
      <c r="K2186" s="6">
        <v>-98.142583999999999</v>
      </c>
      <c r="L2186" s="6" t="str">
        <f>HYPERLINK("https://maps.google.com/?q=17.501442,-98.142583999999999", "🔗 Ver Mapa")</f>
        <v>🔗 Ver Mapa</v>
      </c>
    </row>
    <row r="2187" spans="1:12" ht="43.5" x14ac:dyDescent="0.35">
      <c r="A2187" s="5" t="s">
        <v>359</v>
      </c>
      <c r="B2187" s="5" t="s">
        <v>360</v>
      </c>
      <c r="C2187" s="5" t="s">
        <v>375</v>
      </c>
      <c r="D2187" s="5" t="s">
        <v>31</v>
      </c>
      <c r="E2187" s="5" t="s">
        <v>362</v>
      </c>
      <c r="F2187" s="5" t="s">
        <v>363</v>
      </c>
      <c r="G2187" s="5" t="s">
        <v>364</v>
      </c>
      <c r="H2187" s="5" t="s">
        <v>365</v>
      </c>
      <c r="I2187" s="5" t="s">
        <v>63</v>
      </c>
      <c r="J2187" s="5">
        <v>17.511838000000001</v>
      </c>
      <c r="K2187" s="5">
        <v>-97.488547999999994</v>
      </c>
      <c r="L2187" s="5" t="str">
        <f>HYPERLINK("https://maps.google.com/?q=17.511838,-97.488547999999994", "🔗 Ver Mapa")</f>
        <v>🔗 Ver Mapa</v>
      </c>
    </row>
    <row r="2188" spans="1:12" ht="43.5" x14ac:dyDescent="0.35">
      <c r="A2188" s="6" t="s">
        <v>359</v>
      </c>
      <c r="B2188" s="6" t="s">
        <v>360</v>
      </c>
      <c r="C2188" s="6" t="s">
        <v>375</v>
      </c>
      <c r="D2188" s="6" t="s">
        <v>31</v>
      </c>
      <c r="E2188" s="6" t="s">
        <v>362</v>
      </c>
      <c r="F2188" s="6" t="s">
        <v>363</v>
      </c>
      <c r="G2188" s="6" t="s">
        <v>364</v>
      </c>
      <c r="H2188" s="6" t="s">
        <v>365</v>
      </c>
      <c r="I2188" s="6" t="s">
        <v>63</v>
      </c>
      <c r="J2188" s="6">
        <v>17.724615</v>
      </c>
      <c r="K2188" s="6">
        <v>-97.323898</v>
      </c>
      <c r="L2188" s="6" t="str">
        <f>HYPERLINK("https://maps.google.com/?q=17.724615,-97.323898", "🔗 Ver Mapa")</f>
        <v>🔗 Ver Mapa</v>
      </c>
    </row>
    <row r="2189" spans="1:12" ht="43.5" x14ac:dyDescent="0.35">
      <c r="A2189" s="5" t="s">
        <v>359</v>
      </c>
      <c r="B2189" s="5" t="s">
        <v>360</v>
      </c>
      <c r="C2189" s="5" t="s">
        <v>375</v>
      </c>
      <c r="D2189" s="5" t="s">
        <v>31</v>
      </c>
      <c r="E2189" s="5" t="s">
        <v>362</v>
      </c>
      <c r="F2189" s="5" t="s">
        <v>363</v>
      </c>
      <c r="G2189" s="5" t="s">
        <v>364</v>
      </c>
      <c r="H2189" s="5" t="s">
        <v>365</v>
      </c>
      <c r="I2189" s="5" t="s">
        <v>63</v>
      </c>
      <c r="J2189" s="5">
        <v>17.801687000000001</v>
      </c>
      <c r="K2189" s="5">
        <v>-96.959688</v>
      </c>
      <c r="L2189" s="5" t="str">
        <f>HYPERLINK("https://maps.google.com/?q=17.801687,-96.959688", "🔗 Ver Mapa")</f>
        <v>🔗 Ver Mapa</v>
      </c>
    </row>
    <row r="2190" spans="1:12" ht="43.5" x14ac:dyDescent="0.35">
      <c r="A2190" s="6" t="s">
        <v>359</v>
      </c>
      <c r="B2190" s="6" t="s">
        <v>360</v>
      </c>
      <c r="C2190" s="6" t="s">
        <v>375</v>
      </c>
      <c r="D2190" s="6" t="s">
        <v>31</v>
      </c>
      <c r="E2190" s="6" t="s">
        <v>362</v>
      </c>
      <c r="F2190" s="6" t="s">
        <v>363</v>
      </c>
      <c r="G2190" s="6" t="s">
        <v>364</v>
      </c>
      <c r="H2190" s="6" t="s">
        <v>365</v>
      </c>
      <c r="I2190" s="6" t="s">
        <v>63</v>
      </c>
      <c r="J2190" s="6">
        <v>17.806621</v>
      </c>
      <c r="K2190" s="6">
        <v>-97.776161999999999</v>
      </c>
      <c r="L2190" s="6" t="str">
        <f>HYPERLINK("https://maps.google.com/?q=17.806621,-97.776161999999999", "🔗 Ver Mapa")</f>
        <v>🔗 Ver Mapa</v>
      </c>
    </row>
    <row r="2191" spans="1:12" ht="43.5" x14ac:dyDescent="0.35">
      <c r="A2191" s="5" t="s">
        <v>359</v>
      </c>
      <c r="B2191" s="5" t="s">
        <v>360</v>
      </c>
      <c r="C2191" s="5" t="s">
        <v>375</v>
      </c>
      <c r="D2191" s="5" t="s">
        <v>31</v>
      </c>
      <c r="E2191" s="5" t="s">
        <v>362</v>
      </c>
      <c r="F2191" s="5" t="s">
        <v>363</v>
      </c>
      <c r="G2191" s="5" t="s">
        <v>364</v>
      </c>
      <c r="H2191" s="5" t="s">
        <v>365</v>
      </c>
      <c r="I2191" s="5" t="s">
        <v>63</v>
      </c>
      <c r="J2191" s="5">
        <v>18.081168999999999</v>
      </c>
      <c r="K2191" s="5">
        <v>-96.118475000000004</v>
      </c>
      <c r="L2191" s="5" t="str">
        <f>HYPERLINK("https://maps.google.com/?q=18.081169,-96.118475000000004", "🔗 Ver Mapa")</f>
        <v>🔗 Ver Mapa</v>
      </c>
    </row>
    <row r="2192" spans="1:12" ht="43.5" x14ac:dyDescent="0.35">
      <c r="A2192" s="6" t="s">
        <v>359</v>
      </c>
      <c r="B2192" s="6" t="s">
        <v>360</v>
      </c>
      <c r="C2192" s="6" t="s">
        <v>375</v>
      </c>
      <c r="D2192" s="6" t="s">
        <v>31</v>
      </c>
      <c r="E2192" s="6" t="s">
        <v>362</v>
      </c>
      <c r="F2192" s="6" t="s">
        <v>363</v>
      </c>
      <c r="G2192" s="6" t="s">
        <v>364</v>
      </c>
      <c r="H2192" s="6" t="s">
        <v>365</v>
      </c>
      <c r="I2192" s="6" t="s">
        <v>63</v>
      </c>
      <c r="J2192" s="6">
        <v>18.13222</v>
      </c>
      <c r="K2192" s="6">
        <v>-97.070751000000001</v>
      </c>
      <c r="L2192" s="6" t="str">
        <f>HYPERLINK("https://maps.google.com/?q=18.13222,-97.070751000000001", "🔗 Ver Mapa")</f>
        <v>🔗 Ver Mapa</v>
      </c>
    </row>
    <row r="2193" spans="1:12" ht="43.5" x14ac:dyDescent="0.35">
      <c r="A2193" s="5" t="s">
        <v>359</v>
      </c>
      <c r="B2193" s="5" t="s">
        <v>360</v>
      </c>
      <c r="C2193" s="5" t="s">
        <v>376</v>
      </c>
      <c r="D2193" s="5" t="s">
        <v>31</v>
      </c>
      <c r="E2193" s="5" t="s">
        <v>362</v>
      </c>
      <c r="F2193" s="5" t="s">
        <v>363</v>
      </c>
      <c r="G2193" s="5" t="s">
        <v>364</v>
      </c>
      <c r="H2193" s="5" t="s">
        <v>365</v>
      </c>
      <c r="I2193" s="5" t="s">
        <v>63</v>
      </c>
      <c r="J2193" s="5">
        <v>15.746143999999999</v>
      </c>
      <c r="K2193" s="5">
        <v>-96.465182999999996</v>
      </c>
      <c r="L2193" s="5" t="str">
        <f>HYPERLINK("https://maps.google.com/?q=15.746144,-96.465182999999996", "🔗 Ver Mapa")</f>
        <v>🔗 Ver Mapa</v>
      </c>
    </row>
    <row r="2194" spans="1:12" ht="43.5" x14ac:dyDescent="0.35">
      <c r="A2194" s="6" t="s">
        <v>359</v>
      </c>
      <c r="B2194" s="6" t="s">
        <v>360</v>
      </c>
      <c r="C2194" s="6" t="s">
        <v>376</v>
      </c>
      <c r="D2194" s="6" t="s">
        <v>31</v>
      </c>
      <c r="E2194" s="6" t="s">
        <v>362</v>
      </c>
      <c r="F2194" s="6" t="s">
        <v>363</v>
      </c>
      <c r="G2194" s="6" t="s">
        <v>364</v>
      </c>
      <c r="H2194" s="6" t="s">
        <v>365</v>
      </c>
      <c r="I2194" s="6" t="s">
        <v>63</v>
      </c>
      <c r="J2194" s="6">
        <v>16.237075999999998</v>
      </c>
      <c r="K2194" s="6">
        <v>-97.292351999999994</v>
      </c>
      <c r="L2194" s="6" t="str">
        <f>HYPERLINK("https://maps.google.com/?q=16.237076,-97.292351999999994", "🔗 Ver Mapa")</f>
        <v>🔗 Ver Mapa</v>
      </c>
    </row>
    <row r="2195" spans="1:12" ht="43.5" x14ac:dyDescent="0.35">
      <c r="A2195" s="5" t="s">
        <v>359</v>
      </c>
      <c r="B2195" s="5" t="s">
        <v>360</v>
      </c>
      <c r="C2195" s="5" t="s">
        <v>376</v>
      </c>
      <c r="D2195" s="5" t="s">
        <v>31</v>
      </c>
      <c r="E2195" s="5" t="s">
        <v>362</v>
      </c>
      <c r="F2195" s="5" t="s">
        <v>363</v>
      </c>
      <c r="G2195" s="5" t="s">
        <v>364</v>
      </c>
      <c r="H2195" s="5" t="s">
        <v>365</v>
      </c>
      <c r="I2195" s="5" t="s">
        <v>63</v>
      </c>
      <c r="J2195" s="5">
        <v>16.279057999999999</v>
      </c>
      <c r="K2195" s="5">
        <v>-97.820240999999996</v>
      </c>
      <c r="L2195" s="5" t="str">
        <f>HYPERLINK("https://maps.google.com/?q=16.279058,-97.820240999999996", "🔗 Ver Mapa")</f>
        <v>🔗 Ver Mapa</v>
      </c>
    </row>
    <row r="2196" spans="1:12" ht="43.5" x14ac:dyDescent="0.35">
      <c r="A2196" s="6" t="s">
        <v>359</v>
      </c>
      <c r="B2196" s="6" t="s">
        <v>360</v>
      </c>
      <c r="C2196" s="6" t="s">
        <v>376</v>
      </c>
      <c r="D2196" s="6" t="s">
        <v>31</v>
      </c>
      <c r="E2196" s="6" t="s">
        <v>362</v>
      </c>
      <c r="F2196" s="6" t="s">
        <v>363</v>
      </c>
      <c r="G2196" s="6" t="s">
        <v>364</v>
      </c>
      <c r="H2196" s="6" t="s">
        <v>365</v>
      </c>
      <c r="I2196" s="6" t="s">
        <v>63</v>
      </c>
      <c r="J2196" s="6">
        <v>16.328751</v>
      </c>
      <c r="K2196" s="6">
        <v>-96.596529000000004</v>
      </c>
      <c r="L2196" s="6" t="str">
        <f>HYPERLINK("https://maps.google.com/?q=16.328751,-96.596529000000004", "🔗 Ver Mapa")</f>
        <v>🔗 Ver Mapa</v>
      </c>
    </row>
    <row r="2197" spans="1:12" ht="43.5" x14ac:dyDescent="0.35">
      <c r="A2197" s="5" t="s">
        <v>359</v>
      </c>
      <c r="B2197" s="5" t="s">
        <v>360</v>
      </c>
      <c r="C2197" s="5" t="s">
        <v>376</v>
      </c>
      <c r="D2197" s="5" t="s">
        <v>31</v>
      </c>
      <c r="E2197" s="5" t="s">
        <v>362</v>
      </c>
      <c r="F2197" s="5" t="s">
        <v>363</v>
      </c>
      <c r="G2197" s="5" t="s">
        <v>364</v>
      </c>
      <c r="H2197" s="5" t="s">
        <v>365</v>
      </c>
      <c r="I2197" s="5" t="s">
        <v>63</v>
      </c>
      <c r="J2197" s="5">
        <v>16.332014000000001</v>
      </c>
      <c r="K2197" s="5">
        <v>-95.231966</v>
      </c>
      <c r="L2197" s="5" t="str">
        <f>HYPERLINK("https://maps.google.com/?q=16.332014,-95.231966", "🔗 Ver Mapa")</f>
        <v>🔗 Ver Mapa</v>
      </c>
    </row>
    <row r="2198" spans="1:12" ht="43.5" x14ac:dyDescent="0.35">
      <c r="A2198" s="6" t="s">
        <v>359</v>
      </c>
      <c r="B2198" s="6" t="s">
        <v>360</v>
      </c>
      <c r="C2198" s="6" t="s">
        <v>376</v>
      </c>
      <c r="D2198" s="6" t="s">
        <v>31</v>
      </c>
      <c r="E2198" s="6" t="s">
        <v>362</v>
      </c>
      <c r="F2198" s="6" t="s">
        <v>363</v>
      </c>
      <c r="G2198" s="6" t="s">
        <v>364</v>
      </c>
      <c r="H2198" s="6" t="s">
        <v>365</v>
      </c>
      <c r="I2198" s="6" t="s">
        <v>63</v>
      </c>
      <c r="J2198" s="6">
        <v>16.433347000000001</v>
      </c>
      <c r="K2198" s="6">
        <v>-95.021687</v>
      </c>
      <c r="L2198" s="6" t="str">
        <f>HYPERLINK("https://maps.google.com/?q=16.433347,-95.021687", "🔗 Ver Mapa")</f>
        <v>🔗 Ver Mapa</v>
      </c>
    </row>
    <row r="2199" spans="1:12" ht="43.5" x14ac:dyDescent="0.35">
      <c r="A2199" s="5" t="s">
        <v>359</v>
      </c>
      <c r="B2199" s="5" t="s">
        <v>360</v>
      </c>
      <c r="C2199" s="5" t="s">
        <v>376</v>
      </c>
      <c r="D2199" s="5" t="s">
        <v>31</v>
      </c>
      <c r="E2199" s="5" t="s">
        <v>362</v>
      </c>
      <c r="F2199" s="5" t="s">
        <v>363</v>
      </c>
      <c r="G2199" s="5" t="s">
        <v>364</v>
      </c>
      <c r="H2199" s="5" t="s">
        <v>365</v>
      </c>
      <c r="I2199" s="5" t="s">
        <v>63</v>
      </c>
      <c r="J2199" s="5">
        <v>16.500512000000001</v>
      </c>
      <c r="K2199" s="5">
        <v>-96.106790000000004</v>
      </c>
      <c r="L2199" s="5" t="str">
        <f>HYPERLINK("https://maps.google.com/?q=16.500512,-96.106790000000004", "🔗 Ver Mapa")</f>
        <v>🔗 Ver Mapa</v>
      </c>
    </row>
    <row r="2200" spans="1:12" ht="43.5" x14ac:dyDescent="0.35">
      <c r="A2200" s="6" t="s">
        <v>359</v>
      </c>
      <c r="B2200" s="6" t="s">
        <v>360</v>
      </c>
      <c r="C2200" s="6" t="s">
        <v>376</v>
      </c>
      <c r="D2200" s="6" t="s">
        <v>31</v>
      </c>
      <c r="E2200" s="6" t="s">
        <v>362</v>
      </c>
      <c r="F2200" s="6" t="s">
        <v>363</v>
      </c>
      <c r="G2200" s="6" t="s">
        <v>364</v>
      </c>
      <c r="H2200" s="6" t="s">
        <v>365</v>
      </c>
      <c r="I2200" s="6" t="s">
        <v>63</v>
      </c>
      <c r="J2200" s="6">
        <v>16.519807</v>
      </c>
      <c r="K2200" s="6">
        <v>-96.983885000000001</v>
      </c>
      <c r="L2200" s="6" t="str">
        <f>HYPERLINK("https://maps.google.com/?q=16.519807,-96.983885000000001", "🔗 Ver Mapa")</f>
        <v>🔗 Ver Mapa</v>
      </c>
    </row>
    <row r="2201" spans="1:12" ht="43.5" x14ac:dyDescent="0.35">
      <c r="A2201" s="5" t="s">
        <v>359</v>
      </c>
      <c r="B2201" s="5" t="s">
        <v>360</v>
      </c>
      <c r="C2201" s="5" t="s">
        <v>376</v>
      </c>
      <c r="D2201" s="5" t="s">
        <v>31</v>
      </c>
      <c r="E2201" s="5" t="s">
        <v>362</v>
      </c>
      <c r="F2201" s="5" t="s">
        <v>363</v>
      </c>
      <c r="G2201" s="5" t="s">
        <v>364</v>
      </c>
      <c r="H2201" s="5" t="s">
        <v>365</v>
      </c>
      <c r="I2201" s="5" t="s">
        <v>63</v>
      </c>
      <c r="J2201" s="5">
        <v>16.564243999999999</v>
      </c>
      <c r="K2201" s="5">
        <v>-96.731829000000005</v>
      </c>
      <c r="L2201" s="5" t="str">
        <f>HYPERLINK("https://maps.google.com/?q=16.564244,-96.731829000000005", "🔗 Ver Mapa")</f>
        <v>🔗 Ver Mapa</v>
      </c>
    </row>
    <row r="2202" spans="1:12" ht="43.5" x14ac:dyDescent="0.35">
      <c r="A2202" s="6" t="s">
        <v>359</v>
      </c>
      <c r="B2202" s="6" t="s">
        <v>360</v>
      </c>
      <c r="C2202" s="6" t="s">
        <v>376</v>
      </c>
      <c r="D2202" s="6" t="s">
        <v>31</v>
      </c>
      <c r="E2202" s="6" t="s">
        <v>362</v>
      </c>
      <c r="F2202" s="6" t="s">
        <v>363</v>
      </c>
      <c r="G2202" s="6" t="s">
        <v>364</v>
      </c>
      <c r="H2202" s="6" t="s">
        <v>365</v>
      </c>
      <c r="I2202" s="6" t="s">
        <v>63</v>
      </c>
      <c r="J2202" s="6">
        <v>16.791625</v>
      </c>
      <c r="K2202" s="6">
        <v>-96.674999</v>
      </c>
      <c r="L2202" s="6" t="str">
        <f>HYPERLINK("https://maps.google.com/?q=16.791625,-96.674999", "🔗 Ver Mapa")</f>
        <v>🔗 Ver Mapa</v>
      </c>
    </row>
    <row r="2203" spans="1:12" ht="43.5" x14ac:dyDescent="0.35">
      <c r="A2203" s="5" t="s">
        <v>359</v>
      </c>
      <c r="B2203" s="5" t="s">
        <v>360</v>
      </c>
      <c r="C2203" s="5" t="s">
        <v>376</v>
      </c>
      <c r="D2203" s="5" t="s">
        <v>31</v>
      </c>
      <c r="E2203" s="5" t="s">
        <v>362</v>
      </c>
      <c r="F2203" s="5" t="s">
        <v>363</v>
      </c>
      <c r="G2203" s="5" t="s">
        <v>364</v>
      </c>
      <c r="H2203" s="5" t="s">
        <v>365</v>
      </c>
      <c r="I2203" s="5" t="s">
        <v>63</v>
      </c>
      <c r="J2203" s="5">
        <v>16.866371000000001</v>
      </c>
      <c r="K2203" s="5">
        <v>-96.785623000000001</v>
      </c>
      <c r="L2203" s="5" t="str">
        <f>HYPERLINK("https://maps.google.com/?q=16.866371,-96.785623000000001", "🔗 Ver Mapa")</f>
        <v>🔗 Ver Mapa</v>
      </c>
    </row>
    <row r="2204" spans="1:12" ht="43.5" x14ac:dyDescent="0.35">
      <c r="A2204" s="6" t="s">
        <v>359</v>
      </c>
      <c r="B2204" s="6" t="s">
        <v>360</v>
      </c>
      <c r="C2204" s="6" t="s">
        <v>376</v>
      </c>
      <c r="D2204" s="6" t="s">
        <v>31</v>
      </c>
      <c r="E2204" s="6" t="s">
        <v>362</v>
      </c>
      <c r="F2204" s="6" t="s">
        <v>363</v>
      </c>
      <c r="G2204" s="6" t="s">
        <v>364</v>
      </c>
      <c r="H2204" s="6" t="s">
        <v>365</v>
      </c>
      <c r="I2204" s="6" t="s">
        <v>63</v>
      </c>
      <c r="J2204" s="6">
        <v>16.950706</v>
      </c>
      <c r="K2204" s="6">
        <v>-96.750504000000006</v>
      </c>
      <c r="L2204" s="6" t="str">
        <f>HYPERLINK("https://maps.google.com/?q=16.950706,-96.750504000000006", "🔗 Ver Mapa")</f>
        <v>🔗 Ver Mapa</v>
      </c>
    </row>
    <row r="2205" spans="1:12" ht="43.5" x14ac:dyDescent="0.35">
      <c r="A2205" s="5" t="s">
        <v>359</v>
      </c>
      <c r="B2205" s="5" t="s">
        <v>360</v>
      </c>
      <c r="C2205" s="5" t="s">
        <v>376</v>
      </c>
      <c r="D2205" s="5" t="s">
        <v>31</v>
      </c>
      <c r="E2205" s="5" t="s">
        <v>362</v>
      </c>
      <c r="F2205" s="5" t="s">
        <v>363</v>
      </c>
      <c r="G2205" s="5" t="s">
        <v>364</v>
      </c>
      <c r="H2205" s="5" t="s">
        <v>365</v>
      </c>
      <c r="I2205" s="5" t="s">
        <v>63</v>
      </c>
      <c r="J2205" s="5">
        <v>16.955580000000001</v>
      </c>
      <c r="K2205" s="5">
        <v>-96.479206000000005</v>
      </c>
      <c r="L2205" s="5" t="str">
        <f>HYPERLINK("https://maps.google.com/?q=16.95558,-96.479206000000005", "🔗 Ver Mapa")</f>
        <v>🔗 Ver Mapa</v>
      </c>
    </row>
    <row r="2206" spans="1:12" ht="43.5" x14ac:dyDescent="0.35">
      <c r="A2206" s="6" t="s">
        <v>359</v>
      </c>
      <c r="B2206" s="6" t="s">
        <v>360</v>
      </c>
      <c r="C2206" s="6" t="s">
        <v>376</v>
      </c>
      <c r="D2206" s="6" t="s">
        <v>31</v>
      </c>
      <c r="E2206" s="6" t="s">
        <v>362</v>
      </c>
      <c r="F2206" s="6" t="s">
        <v>363</v>
      </c>
      <c r="G2206" s="6" t="s">
        <v>364</v>
      </c>
      <c r="H2206" s="6" t="s">
        <v>365</v>
      </c>
      <c r="I2206" s="6" t="s">
        <v>63</v>
      </c>
      <c r="J2206" s="6">
        <v>17.026216000000002</v>
      </c>
      <c r="K2206" s="6">
        <v>-97.928115000000005</v>
      </c>
      <c r="L2206" s="6" t="str">
        <f>HYPERLINK("https://maps.google.com/?q=17.026216,-97.928115000000005", "🔗 Ver Mapa")</f>
        <v>🔗 Ver Mapa</v>
      </c>
    </row>
    <row r="2207" spans="1:12" ht="43.5" x14ac:dyDescent="0.35">
      <c r="A2207" s="5" t="s">
        <v>359</v>
      </c>
      <c r="B2207" s="5" t="s">
        <v>360</v>
      </c>
      <c r="C2207" s="5" t="s">
        <v>376</v>
      </c>
      <c r="D2207" s="5" t="s">
        <v>31</v>
      </c>
      <c r="E2207" s="5" t="s">
        <v>362</v>
      </c>
      <c r="F2207" s="5" t="s">
        <v>363</v>
      </c>
      <c r="G2207" s="5" t="s">
        <v>364</v>
      </c>
      <c r="H2207" s="5" t="s">
        <v>365</v>
      </c>
      <c r="I2207" s="5" t="s">
        <v>63</v>
      </c>
      <c r="J2207" s="5">
        <v>17.027131000000001</v>
      </c>
      <c r="K2207" s="5">
        <v>-96.077044000000001</v>
      </c>
      <c r="L2207" s="5" t="str">
        <f>HYPERLINK("https://maps.google.com/?q=17.027131,-96.077044000000001", "🔗 Ver Mapa")</f>
        <v>🔗 Ver Mapa</v>
      </c>
    </row>
    <row r="2208" spans="1:12" ht="43.5" x14ac:dyDescent="0.35">
      <c r="A2208" s="6" t="s">
        <v>359</v>
      </c>
      <c r="B2208" s="6" t="s">
        <v>360</v>
      </c>
      <c r="C2208" s="6" t="s">
        <v>376</v>
      </c>
      <c r="D2208" s="6" t="s">
        <v>31</v>
      </c>
      <c r="E2208" s="6" t="s">
        <v>362</v>
      </c>
      <c r="F2208" s="6" t="s">
        <v>363</v>
      </c>
      <c r="G2208" s="6" t="s">
        <v>364</v>
      </c>
      <c r="H2208" s="6" t="s">
        <v>365</v>
      </c>
      <c r="I2208" s="6" t="s">
        <v>63</v>
      </c>
      <c r="J2208" s="6">
        <v>17.063777999999999</v>
      </c>
      <c r="K2208" s="6">
        <v>-96.729971000000006</v>
      </c>
      <c r="L2208" s="6" t="str">
        <f>HYPERLINK("https://maps.google.com/?q=17.063778,-96.729971000000006", "🔗 Ver Mapa")</f>
        <v>🔗 Ver Mapa</v>
      </c>
    </row>
    <row r="2209" spans="1:12" ht="43.5" x14ac:dyDescent="0.35">
      <c r="A2209" s="5" t="s">
        <v>359</v>
      </c>
      <c r="B2209" s="5" t="s">
        <v>360</v>
      </c>
      <c r="C2209" s="5" t="s">
        <v>376</v>
      </c>
      <c r="D2209" s="5" t="s">
        <v>31</v>
      </c>
      <c r="E2209" s="5" t="s">
        <v>362</v>
      </c>
      <c r="F2209" s="5" t="s">
        <v>363</v>
      </c>
      <c r="G2209" s="5" t="s">
        <v>364</v>
      </c>
      <c r="H2209" s="5" t="s">
        <v>365</v>
      </c>
      <c r="I2209" s="5" t="s">
        <v>63</v>
      </c>
      <c r="J2209" s="5">
        <v>17.207464000000002</v>
      </c>
      <c r="K2209" s="5">
        <v>-96.801094000000006</v>
      </c>
      <c r="L2209" s="5" t="str">
        <f>HYPERLINK("https://maps.google.com/?q=17.207464,-96.801094000000006", "🔗 Ver Mapa")</f>
        <v>🔗 Ver Mapa</v>
      </c>
    </row>
    <row r="2210" spans="1:12" ht="43.5" x14ac:dyDescent="0.35">
      <c r="A2210" s="6" t="s">
        <v>359</v>
      </c>
      <c r="B2210" s="6" t="s">
        <v>360</v>
      </c>
      <c r="C2210" s="6" t="s">
        <v>376</v>
      </c>
      <c r="D2210" s="6" t="s">
        <v>31</v>
      </c>
      <c r="E2210" s="6" t="s">
        <v>362</v>
      </c>
      <c r="F2210" s="6" t="s">
        <v>363</v>
      </c>
      <c r="G2210" s="6" t="s">
        <v>364</v>
      </c>
      <c r="H2210" s="6" t="s">
        <v>365</v>
      </c>
      <c r="I2210" s="6" t="s">
        <v>63</v>
      </c>
      <c r="J2210" s="6">
        <v>17.267448999999999</v>
      </c>
      <c r="K2210" s="6">
        <v>-97.680485000000004</v>
      </c>
      <c r="L2210" s="6" t="str">
        <f>HYPERLINK("https://maps.google.com/?q=17.267449,-97.680485000000004", "🔗 Ver Mapa")</f>
        <v>🔗 Ver Mapa</v>
      </c>
    </row>
    <row r="2211" spans="1:12" ht="43.5" x14ac:dyDescent="0.35">
      <c r="A2211" s="5" t="s">
        <v>359</v>
      </c>
      <c r="B2211" s="5" t="s">
        <v>360</v>
      </c>
      <c r="C2211" s="5" t="s">
        <v>376</v>
      </c>
      <c r="D2211" s="5" t="s">
        <v>31</v>
      </c>
      <c r="E2211" s="5" t="s">
        <v>362</v>
      </c>
      <c r="F2211" s="5" t="s">
        <v>363</v>
      </c>
      <c r="G2211" s="5" t="s">
        <v>364</v>
      </c>
      <c r="H2211" s="5" t="s">
        <v>365</v>
      </c>
      <c r="I2211" s="5" t="s">
        <v>63</v>
      </c>
      <c r="J2211" s="5">
        <v>17.331247999999999</v>
      </c>
      <c r="K2211" s="5">
        <v>-96.487900999999994</v>
      </c>
      <c r="L2211" s="5" t="str">
        <f>HYPERLINK("https://maps.google.com/?q=17.331248,-96.487900999999994", "🔗 Ver Mapa")</f>
        <v>🔗 Ver Mapa</v>
      </c>
    </row>
    <row r="2212" spans="1:12" ht="43.5" x14ac:dyDescent="0.35">
      <c r="A2212" s="6" t="s">
        <v>359</v>
      </c>
      <c r="B2212" s="6" t="s">
        <v>360</v>
      </c>
      <c r="C2212" s="6" t="s">
        <v>376</v>
      </c>
      <c r="D2212" s="6" t="s">
        <v>31</v>
      </c>
      <c r="E2212" s="6" t="s">
        <v>362</v>
      </c>
      <c r="F2212" s="6" t="s">
        <v>363</v>
      </c>
      <c r="G2212" s="6" t="s">
        <v>364</v>
      </c>
      <c r="H2212" s="6" t="s">
        <v>365</v>
      </c>
      <c r="I2212" s="6" t="s">
        <v>63</v>
      </c>
      <c r="J2212" s="6">
        <v>17.335315999999999</v>
      </c>
      <c r="K2212" s="6">
        <v>-98.012051</v>
      </c>
      <c r="L2212" s="6" t="str">
        <f>HYPERLINK("https://maps.google.com/?q=17.335316,-98.012051", "🔗 Ver Mapa")</f>
        <v>🔗 Ver Mapa</v>
      </c>
    </row>
    <row r="2213" spans="1:12" ht="43.5" x14ac:dyDescent="0.35">
      <c r="A2213" s="5" t="s">
        <v>359</v>
      </c>
      <c r="B2213" s="5" t="s">
        <v>360</v>
      </c>
      <c r="C2213" s="5" t="s">
        <v>376</v>
      </c>
      <c r="D2213" s="5" t="s">
        <v>31</v>
      </c>
      <c r="E2213" s="5" t="s">
        <v>362</v>
      </c>
      <c r="F2213" s="5" t="s">
        <v>363</v>
      </c>
      <c r="G2213" s="5" t="s">
        <v>364</v>
      </c>
      <c r="H2213" s="5" t="s">
        <v>365</v>
      </c>
      <c r="I2213" s="5" t="s">
        <v>63</v>
      </c>
      <c r="J2213" s="5">
        <v>17.338730000000002</v>
      </c>
      <c r="K2213" s="5">
        <v>-96.152553999999995</v>
      </c>
      <c r="L2213" s="5" t="str">
        <f>HYPERLINK("https://maps.google.com/?q=17.33873,-96.152553999999995", "🔗 Ver Mapa")</f>
        <v>🔗 Ver Mapa</v>
      </c>
    </row>
    <row r="2214" spans="1:12" ht="43.5" x14ac:dyDescent="0.35">
      <c r="A2214" s="6" t="s">
        <v>359</v>
      </c>
      <c r="B2214" s="6" t="s">
        <v>360</v>
      </c>
      <c r="C2214" s="6" t="s">
        <v>376</v>
      </c>
      <c r="D2214" s="6" t="s">
        <v>31</v>
      </c>
      <c r="E2214" s="6" t="s">
        <v>362</v>
      </c>
      <c r="F2214" s="6" t="s">
        <v>363</v>
      </c>
      <c r="G2214" s="6" t="s">
        <v>364</v>
      </c>
      <c r="H2214" s="6" t="s">
        <v>365</v>
      </c>
      <c r="I2214" s="6" t="s">
        <v>63</v>
      </c>
      <c r="J2214" s="6">
        <v>17.361765999999999</v>
      </c>
      <c r="K2214" s="6">
        <v>-95.922253999999995</v>
      </c>
      <c r="L2214" s="6" t="str">
        <f>HYPERLINK("https://maps.google.com/?q=17.361766,-95.922253999999995", "🔗 Ver Mapa")</f>
        <v>🔗 Ver Mapa</v>
      </c>
    </row>
    <row r="2215" spans="1:12" ht="43.5" x14ac:dyDescent="0.35">
      <c r="A2215" s="5" t="s">
        <v>359</v>
      </c>
      <c r="B2215" s="5" t="s">
        <v>360</v>
      </c>
      <c r="C2215" s="5" t="s">
        <v>376</v>
      </c>
      <c r="D2215" s="5" t="s">
        <v>31</v>
      </c>
      <c r="E2215" s="5" t="s">
        <v>362</v>
      </c>
      <c r="F2215" s="5" t="s">
        <v>363</v>
      </c>
      <c r="G2215" s="5" t="s">
        <v>364</v>
      </c>
      <c r="H2215" s="5" t="s">
        <v>365</v>
      </c>
      <c r="I2215" s="5" t="s">
        <v>63</v>
      </c>
      <c r="J2215" s="5">
        <v>17.458341000000001</v>
      </c>
      <c r="K2215" s="5">
        <v>-97.225285</v>
      </c>
      <c r="L2215" s="5" t="str">
        <f>HYPERLINK("https://maps.google.com/?q=17.458341,-97.225285", "🔗 Ver Mapa")</f>
        <v>🔗 Ver Mapa</v>
      </c>
    </row>
    <row r="2216" spans="1:12" ht="43.5" x14ac:dyDescent="0.35">
      <c r="A2216" s="6" t="s">
        <v>359</v>
      </c>
      <c r="B2216" s="6" t="s">
        <v>360</v>
      </c>
      <c r="C2216" s="6" t="s">
        <v>376</v>
      </c>
      <c r="D2216" s="6" t="s">
        <v>31</v>
      </c>
      <c r="E2216" s="6" t="s">
        <v>362</v>
      </c>
      <c r="F2216" s="6" t="s">
        <v>363</v>
      </c>
      <c r="G2216" s="6" t="s">
        <v>364</v>
      </c>
      <c r="H2216" s="6" t="s">
        <v>365</v>
      </c>
      <c r="I2216" s="6" t="s">
        <v>63</v>
      </c>
      <c r="J2216" s="6">
        <v>17.501442000000001</v>
      </c>
      <c r="K2216" s="6">
        <v>-98.142583999999999</v>
      </c>
      <c r="L2216" s="6" t="str">
        <f>HYPERLINK("https://maps.google.com/?q=17.501442,-98.142583999999999", "🔗 Ver Mapa")</f>
        <v>🔗 Ver Mapa</v>
      </c>
    </row>
    <row r="2217" spans="1:12" ht="43.5" x14ac:dyDescent="0.35">
      <c r="A2217" s="5" t="s">
        <v>359</v>
      </c>
      <c r="B2217" s="5" t="s">
        <v>360</v>
      </c>
      <c r="C2217" s="5" t="s">
        <v>376</v>
      </c>
      <c r="D2217" s="5" t="s">
        <v>31</v>
      </c>
      <c r="E2217" s="5" t="s">
        <v>362</v>
      </c>
      <c r="F2217" s="5" t="s">
        <v>363</v>
      </c>
      <c r="G2217" s="5" t="s">
        <v>364</v>
      </c>
      <c r="H2217" s="5" t="s">
        <v>365</v>
      </c>
      <c r="I2217" s="5" t="s">
        <v>63</v>
      </c>
      <c r="J2217" s="5">
        <v>17.511838000000001</v>
      </c>
      <c r="K2217" s="5">
        <v>-97.488547999999994</v>
      </c>
      <c r="L2217" s="5" t="str">
        <f>HYPERLINK("https://maps.google.com/?q=17.511838,-97.488547999999994", "🔗 Ver Mapa")</f>
        <v>🔗 Ver Mapa</v>
      </c>
    </row>
    <row r="2218" spans="1:12" ht="43.5" x14ac:dyDescent="0.35">
      <c r="A2218" s="6" t="s">
        <v>359</v>
      </c>
      <c r="B2218" s="6" t="s">
        <v>360</v>
      </c>
      <c r="C2218" s="6" t="s">
        <v>376</v>
      </c>
      <c r="D2218" s="6" t="s">
        <v>31</v>
      </c>
      <c r="E2218" s="6" t="s">
        <v>362</v>
      </c>
      <c r="F2218" s="6" t="s">
        <v>363</v>
      </c>
      <c r="G2218" s="6" t="s">
        <v>364</v>
      </c>
      <c r="H2218" s="6" t="s">
        <v>365</v>
      </c>
      <c r="I2218" s="6" t="s">
        <v>63</v>
      </c>
      <c r="J2218" s="6">
        <v>17.724615</v>
      </c>
      <c r="K2218" s="6">
        <v>-97.323898</v>
      </c>
      <c r="L2218" s="6" t="str">
        <f>HYPERLINK("https://maps.google.com/?q=17.724615,-97.323898", "🔗 Ver Mapa")</f>
        <v>🔗 Ver Mapa</v>
      </c>
    </row>
    <row r="2219" spans="1:12" ht="43.5" x14ac:dyDescent="0.35">
      <c r="A2219" s="5" t="s">
        <v>359</v>
      </c>
      <c r="B2219" s="5" t="s">
        <v>360</v>
      </c>
      <c r="C2219" s="5" t="s">
        <v>376</v>
      </c>
      <c r="D2219" s="5" t="s">
        <v>31</v>
      </c>
      <c r="E2219" s="5" t="s">
        <v>362</v>
      </c>
      <c r="F2219" s="5" t="s">
        <v>363</v>
      </c>
      <c r="G2219" s="5" t="s">
        <v>364</v>
      </c>
      <c r="H2219" s="5" t="s">
        <v>365</v>
      </c>
      <c r="I2219" s="5" t="s">
        <v>63</v>
      </c>
      <c r="J2219" s="5">
        <v>17.801687000000001</v>
      </c>
      <c r="K2219" s="5">
        <v>-96.959688</v>
      </c>
      <c r="L2219" s="5" t="str">
        <f>HYPERLINK("https://maps.google.com/?q=17.801687,-96.959688", "🔗 Ver Mapa")</f>
        <v>🔗 Ver Mapa</v>
      </c>
    </row>
    <row r="2220" spans="1:12" ht="43.5" x14ac:dyDescent="0.35">
      <c r="A2220" s="6" t="s">
        <v>359</v>
      </c>
      <c r="B2220" s="6" t="s">
        <v>360</v>
      </c>
      <c r="C2220" s="6" t="s">
        <v>376</v>
      </c>
      <c r="D2220" s="6" t="s">
        <v>31</v>
      </c>
      <c r="E2220" s="6" t="s">
        <v>362</v>
      </c>
      <c r="F2220" s="6" t="s">
        <v>363</v>
      </c>
      <c r="G2220" s="6" t="s">
        <v>364</v>
      </c>
      <c r="H2220" s="6" t="s">
        <v>365</v>
      </c>
      <c r="I2220" s="6" t="s">
        <v>63</v>
      </c>
      <c r="J2220" s="6">
        <v>17.806621</v>
      </c>
      <c r="K2220" s="6">
        <v>-97.776161999999999</v>
      </c>
      <c r="L2220" s="6" t="str">
        <f>HYPERLINK("https://maps.google.com/?q=17.806621,-97.776161999999999", "🔗 Ver Mapa")</f>
        <v>🔗 Ver Mapa</v>
      </c>
    </row>
    <row r="2221" spans="1:12" ht="43.5" x14ac:dyDescent="0.35">
      <c r="A2221" s="5" t="s">
        <v>359</v>
      </c>
      <c r="B2221" s="5" t="s">
        <v>360</v>
      </c>
      <c r="C2221" s="5" t="s">
        <v>376</v>
      </c>
      <c r="D2221" s="5" t="s">
        <v>31</v>
      </c>
      <c r="E2221" s="5" t="s">
        <v>362</v>
      </c>
      <c r="F2221" s="5" t="s">
        <v>363</v>
      </c>
      <c r="G2221" s="5" t="s">
        <v>364</v>
      </c>
      <c r="H2221" s="5" t="s">
        <v>365</v>
      </c>
      <c r="I2221" s="5" t="s">
        <v>63</v>
      </c>
      <c r="J2221" s="5">
        <v>18.081168999999999</v>
      </c>
      <c r="K2221" s="5">
        <v>-96.118475000000004</v>
      </c>
      <c r="L2221" s="5" t="str">
        <f>HYPERLINK("https://maps.google.com/?q=18.081169,-96.118475000000004", "🔗 Ver Mapa")</f>
        <v>🔗 Ver Mapa</v>
      </c>
    </row>
    <row r="2222" spans="1:12" ht="43.5" x14ac:dyDescent="0.35">
      <c r="A2222" s="6" t="s">
        <v>359</v>
      </c>
      <c r="B2222" s="6" t="s">
        <v>360</v>
      </c>
      <c r="C2222" s="6" t="s">
        <v>376</v>
      </c>
      <c r="D2222" s="6" t="s">
        <v>31</v>
      </c>
      <c r="E2222" s="6" t="s">
        <v>362</v>
      </c>
      <c r="F2222" s="6" t="s">
        <v>363</v>
      </c>
      <c r="G2222" s="6" t="s">
        <v>364</v>
      </c>
      <c r="H2222" s="6" t="s">
        <v>365</v>
      </c>
      <c r="I2222" s="6" t="s">
        <v>63</v>
      </c>
      <c r="J2222" s="6">
        <v>18.13222</v>
      </c>
      <c r="K2222" s="6">
        <v>-97.070751000000001</v>
      </c>
      <c r="L2222" s="6" t="str">
        <f>HYPERLINK("https://maps.google.com/?q=18.13222,-97.070751000000001", "🔗 Ver Mapa")</f>
        <v>🔗 Ver Mapa</v>
      </c>
    </row>
    <row r="2223" spans="1:12" ht="43.5" x14ac:dyDescent="0.35">
      <c r="A2223" s="5" t="s">
        <v>359</v>
      </c>
      <c r="B2223" s="5" t="s">
        <v>360</v>
      </c>
      <c r="C2223" s="5" t="s">
        <v>377</v>
      </c>
      <c r="D2223" s="5" t="s">
        <v>31</v>
      </c>
      <c r="E2223" s="5" t="s">
        <v>362</v>
      </c>
      <c r="F2223" s="5" t="s">
        <v>363</v>
      </c>
      <c r="G2223" s="5" t="s">
        <v>364</v>
      </c>
      <c r="H2223" s="5" t="s">
        <v>365</v>
      </c>
      <c r="I2223" s="5" t="s">
        <v>63</v>
      </c>
      <c r="J2223" s="5">
        <v>15.746143999999999</v>
      </c>
      <c r="K2223" s="5">
        <v>-96.465182999999996</v>
      </c>
      <c r="L2223" s="5" t="str">
        <f>HYPERLINK("https://maps.google.com/?q=15.746144,-96.465182999999996", "🔗 Ver Mapa")</f>
        <v>🔗 Ver Mapa</v>
      </c>
    </row>
    <row r="2224" spans="1:12" ht="43.5" x14ac:dyDescent="0.35">
      <c r="A2224" s="6" t="s">
        <v>359</v>
      </c>
      <c r="B2224" s="6" t="s">
        <v>360</v>
      </c>
      <c r="C2224" s="6" t="s">
        <v>377</v>
      </c>
      <c r="D2224" s="6" t="s">
        <v>31</v>
      </c>
      <c r="E2224" s="6" t="s">
        <v>362</v>
      </c>
      <c r="F2224" s="6" t="s">
        <v>363</v>
      </c>
      <c r="G2224" s="6" t="s">
        <v>364</v>
      </c>
      <c r="H2224" s="6" t="s">
        <v>365</v>
      </c>
      <c r="I2224" s="6" t="s">
        <v>63</v>
      </c>
      <c r="J2224" s="6">
        <v>16.237075999999998</v>
      </c>
      <c r="K2224" s="6">
        <v>-97.292351999999994</v>
      </c>
      <c r="L2224" s="6" t="str">
        <f>HYPERLINK("https://maps.google.com/?q=16.237076,-97.292351999999994", "🔗 Ver Mapa")</f>
        <v>🔗 Ver Mapa</v>
      </c>
    </row>
    <row r="2225" spans="1:12" ht="43.5" x14ac:dyDescent="0.35">
      <c r="A2225" s="5" t="s">
        <v>359</v>
      </c>
      <c r="B2225" s="5" t="s">
        <v>360</v>
      </c>
      <c r="C2225" s="5" t="s">
        <v>377</v>
      </c>
      <c r="D2225" s="5" t="s">
        <v>31</v>
      </c>
      <c r="E2225" s="5" t="s">
        <v>362</v>
      </c>
      <c r="F2225" s="5" t="s">
        <v>363</v>
      </c>
      <c r="G2225" s="5" t="s">
        <v>364</v>
      </c>
      <c r="H2225" s="5" t="s">
        <v>365</v>
      </c>
      <c r="I2225" s="5" t="s">
        <v>63</v>
      </c>
      <c r="J2225" s="5">
        <v>16.279057999999999</v>
      </c>
      <c r="K2225" s="5">
        <v>-97.820240999999996</v>
      </c>
      <c r="L2225" s="5" t="str">
        <f>HYPERLINK("https://maps.google.com/?q=16.279058,-97.820240999999996", "🔗 Ver Mapa")</f>
        <v>🔗 Ver Mapa</v>
      </c>
    </row>
    <row r="2226" spans="1:12" ht="43.5" x14ac:dyDescent="0.35">
      <c r="A2226" s="6" t="s">
        <v>359</v>
      </c>
      <c r="B2226" s="6" t="s">
        <v>360</v>
      </c>
      <c r="C2226" s="6" t="s">
        <v>377</v>
      </c>
      <c r="D2226" s="6" t="s">
        <v>31</v>
      </c>
      <c r="E2226" s="6" t="s">
        <v>362</v>
      </c>
      <c r="F2226" s="6" t="s">
        <v>363</v>
      </c>
      <c r="G2226" s="6" t="s">
        <v>364</v>
      </c>
      <c r="H2226" s="6" t="s">
        <v>365</v>
      </c>
      <c r="I2226" s="6" t="s">
        <v>63</v>
      </c>
      <c r="J2226" s="6">
        <v>16.328751</v>
      </c>
      <c r="K2226" s="6">
        <v>-96.596529000000004</v>
      </c>
      <c r="L2226" s="6" t="str">
        <f>HYPERLINK("https://maps.google.com/?q=16.328751,-96.596529000000004", "🔗 Ver Mapa")</f>
        <v>🔗 Ver Mapa</v>
      </c>
    </row>
    <row r="2227" spans="1:12" ht="43.5" x14ac:dyDescent="0.35">
      <c r="A2227" s="5" t="s">
        <v>359</v>
      </c>
      <c r="B2227" s="5" t="s">
        <v>360</v>
      </c>
      <c r="C2227" s="5" t="s">
        <v>377</v>
      </c>
      <c r="D2227" s="5" t="s">
        <v>31</v>
      </c>
      <c r="E2227" s="5" t="s">
        <v>362</v>
      </c>
      <c r="F2227" s="5" t="s">
        <v>363</v>
      </c>
      <c r="G2227" s="5" t="s">
        <v>364</v>
      </c>
      <c r="H2227" s="5" t="s">
        <v>365</v>
      </c>
      <c r="I2227" s="5" t="s">
        <v>63</v>
      </c>
      <c r="J2227" s="5">
        <v>16.332014000000001</v>
      </c>
      <c r="K2227" s="5">
        <v>-95.231966</v>
      </c>
      <c r="L2227" s="5" t="str">
        <f>HYPERLINK("https://maps.google.com/?q=16.332014,-95.231966", "🔗 Ver Mapa")</f>
        <v>🔗 Ver Mapa</v>
      </c>
    </row>
    <row r="2228" spans="1:12" ht="43.5" x14ac:dyDescent="0.35">
      <c r="A2228" s="6" t="s">
        <v>359</v>
      </c>
      <c r="B2228" s="6" t="s">
        <v>360</v>
      </c>
      <c r="C2228" s="6" t="s">
        <v>377</v>
      </c>
      <c r="D2228" s="6" t="s">
        <v>31</v>
      </c>
      <c r="E2228" s="6" t="s">
        <v>362</v>
      </c>
      <c r="F2228" s="6" t="s">
        <v>363</v>
      </c>
      <c r="G2228" s="6" t="s">
        <v>364</v>
      </c>
      <c r="H2228" s="6" t="s">
        <v>365</v>
      </c>
      <c r="I2228" s="6" t="s">
        <v>63</v>
      </c>
      <c r="J2228" s="6">
        <v>16.433347000000001</v>
      </c>
      <c r="K2228" s="6">
        <v>-95.021687</v>
      </c>
      <c r="L2228" s="6" t="str">
        <f>HYPERLINK("https://maps.google.com/?q=16.433347,-95.021687", "🔗 Ver Mapa")</f>
        <v>🔗 Ver Mapa</v>
      </c>
    </row>
    <row r="2229" spans="1:12" ht="43.5" x14ac:dyDescent="0.35">
      <c r="A2229" s="5" t="s">
        <v>359</v>
      </c>
      <c r="B2229" s="5" t="s">
        <v>360</v>
      </c>
      <c r="C2229" s="5" t="s">
        <v>377</v>
      </c>
      <c r="D2229" s="5" t="s">
        <v>31</v>
      </c>
      <c r="E2229" s="5" t="s">
        <v>362</v>
      </c>
      <c r="F2229" s="5" t="s">
        <v>363</v>
      </c>
      <c r="G2229" s="5" t="s">
        <v>364</v>
      </c>
      <c r="H2229" s="5" t="s">
        <v>365</v>
      </c>
      <c r="I2229" s="5" t="s">
        <v>63</v>
      </c>
      <c r="J2229" s="5">
        <v>16.500512000000001</v>
      </c>
      <c r="K2229" s="5">
        <v>-96.106790000000004</v>
      </c>
      <c r="L2229" s="5" t="str">
        <f>HYPERLINK("https://maps.google.com/?q=16.500512,-96.106790000000004", "🔗 Ver Mapa")</f>
        <v>🔗 Ver Mapa</v>
      </c>
    </row>
    <row r="2230" spans="1:12" ht="43.5" x14ac:dyDescent="0.35">
      <c r="A2230" s="6" t="s">
        <v>359</v>
      </c>
      <c r="B2230" s="6" t="s">
        <v>360</v>
      </c>
      <c r="C2230" s="6" t="s">
        <v>377</v>
      </c>
      <c r="D2230" s="6" t="s">
        <v>31</v>
      </c>
      <c r="E2230" s="6" t="s">
        <v>362</v>
      </c>
      <c r="F2230" s="6" t="s">
        <v>363</v>
      </c>
      <c r="G2230" s="6" t="s">
        <v>364</v>
      </c>
      <c r="H2230" s="6" t="s">
        <v>365</v>
      </c>
      <c r="I2230" s="6" t="s">
        <v>63</v>
      </c>
      <c r="J2230" s="6">
        <v>16.519807</v>
      </c>
      <c r="K2230" s="6">
        <v>-96.983885000000001</v>
      </c>
      <c r="L2230" s="6" t="str">
        <f>HYPERLINK("https://maps.google.com/?q=16.519807,-96.983885000000001", "🔗 Ver Mapa")</f>
        <v>🔗 Ver Mapa</v>
      </c>
    </row>
    <row r="2231" spans="1:12" ht="43.5" x14ac:dyDescent="0.35">
      <c r="A2231" s="5" t="s">
        <v>359</v>
      </c>
      <c r="B2231" s="5" t="s">
        <v>360</v>
      </c>
      <c r="C2231" s="5" t="s">
        <v>377</v>
      </c>
      <c r="D2231" s="5" t="s">
        <v>31</v>
      </c>
      <c r="E2231" s="5" t="s">
        <v>362</v>
      </c>
      <c r="F2231" s="5" t="s">
        <v>363</v>
      </c>
      <c r="G2231" s="5" t="s">
        <v>364</v>
      </c>
      <c r="H2231" s="5" t="s">
        <v>365</v>
      </c>
      <c r="I2231" s="5" t="s">
        <v>63</v>
      </c>
      <c r="J2231" s="5">
        <v>16.564243999999999</v>
      </c>
      <c r="K2231" s="5">
        <v>-96.731829000000005</v>
      </c>
      <c r="L2231" s="5" t="str">
        <f>HYPERLINK("https://maps.google.com/?q=16.564244,-96.731829000000005", "🔗 Ver Mapa")</f>
        <v>🔗 Ver Mapa</v>
      </c>
    </row>
    <row r="2232" spans="1:12" ht="43.5" x14ac:dyDescent="0.35">
      <c r="A2232" s="6" t="s">
        <v>359</v>
      </c>
      <c r="B2232" s="6" t="s">
        <v>360</v>
      </c>
      <c r="C2232" s="6" t="s">
        <v>377</v>
      </c>
      <c r="D2232" s="6" t="s">
        <v>31</v>
      </c>
      <c r="E2232" s="6" t="s">
        <v>362</v>
      </c>
      <c r="F2232" s="6" t="s">
        <v>363</v>
      </c>
      <c r="G2232" s="6" t="s">
        <v>364</v>
      </c>
      <c r="H2232" s="6" t="s">
        <v>365</v>
      </c>
      <c r="I2232" s="6" t="s">
        <v>63</v>
      </c>
      <c r="J2232" s="6">
        <v>16.791625</v>
      </c>
      <c r="K2232" s="6">
        <v>-96.674999</v>
      </c>
      <c r="L2232" s="6" t="str">
        <f>HYPERLINK("https://maps.google.com/?q=16.791625,-96.674999", "🔗 Ver Mapa")</f>
        <v>🔗 Ver Mapa</v>
      </c>
    </row>
    <row r="2233" spans="1:12" ht="43.5" x14ac:dyDescent="0.35">
      <c r="A2233" s="5" t="s">
        <v>359</v>
      </c>
      <c r="B2233" s="5" t="s">
        <v>360</v>
      </c>
      <c r="C2233" s="5" t="s">
        <v>377</v>
      </c>
      <c r="D2233" s="5" t="s">
        <v>31</v>
      </c>
      <c r="E2233" s="5" t="s">
        <v>362</v>
      </c>
      <c r="F2233" s="5" t="s">
        <v>363</v>
      </c>
      <c r="G2233" s="5" t="s">
        <v>364</v>
      </c>
      <c r="H2233" s="5" t="s">
        <v>365</v>
      </c>
      <c r="I2233" s="5" t="s">
        <v>63</v>
      </c>
      <c r="J2233" s="5">
        <v>16.866371000000001</v>
      </c>
      <c r="K2233" s="5">
        <v>-96.785623000000001</v>
      </c>
      <c r="L2233" s="5" t="str">
        <f>HYPERLINK("https://maps.google.com/?q=16.866371,-96.785623000000001", "🔗 Ver Mapa")</f>
        <v>🔗 Ver Mapa</v>
      </c>
    </row>
    <row r="2234" spans="1:12" ht="43.5" x14ac:dyDescent="0.35">
      <c r="A2234" s="6" t="s">
        <v>359</v>
      </c>
      <c r="B2234" s="6" t="s">
        <v>360</v>
      </c>
      <c r="C2234" s="6" t="s">
        <v>377</v>
      </c>
      <c r="D2234" s="6" t="s">
        <v>31</v>
      </c>
      <c r="E2234" s="6" t="s">
        <v>362</v>
      </c>
      <c r="F2234" s="6" t="s">
        <v>363</v>
      </c>
      <c r="G2234" s="6" t="s">
        <v>364</v>
      </c>
      <c r="H2234" s="6" t="s">
        <v>365</v>
      </c>
      <c r="I2234" s="6" t="s">
        <v>63</v>
      </c>
      <c r="J2234" s="6">
        <v>16.950706</v>
      </c>
      <c r="K2234" s="6">
        <v>-96.750504000000006</v>
      </c>
      <c r="L2234" s="6" t="str">
        <f>HYPERLINK("https://maps.google.com/?q=16.950706,-96.750504000000006", "🔗 Ver Mapa")</f>
        <v>🔗 Ver Mapa</v>
      </c>
    </row>
    <row r="2235" spans="1:12" ht="43.5" x14ac:dyDescent="0.35">
      <c r="A2235" s="5" t="s">
        <v>359</v>
      </c>
      <c r="B2235" s="5" t="s">
        <v>360</v>
      </c>
      <c r="C2235" s="5" t="s">
        <v>377</v>
      </c>
      <c r="D2235" s="5" t="s">
        <v>31</v>
      </c>
      <c r="E2235" s="5" t="s">
        <v>362</v>
      </c>
      <c r="F2235" s="5" t="s">
        <v>363</v>
      </c>
      <c r="G2235" s="5" t="s">
        <v>364</v>
      </c>
      <c r="H2235" s="5" t="s">
        <v>365</v>
      </c>
      <c r="I2235" s="5" t="s">
        <v>63</v>
      </c>
      <c r="J2235" s="5">
        <v>16.955580000000001</v>
      </c>
      <c r="K2235" s="5">
        <v>-96.479206000000005</v>
      </c>
      <c r="L2235" s="5" t="str">
        <f>HYPERLINK("https://maps.google.com/?q=16.95558,-96.479206000000005", "🔗 Ver Mapa")</f>
        <v>🔗 Ver Mapa</v>
      </c>
    </row>
    <row r="2236" spans="1:12" ht="43.5" x14ac:dyDescent="0.35">
      <c r="A2236" s="6" t="s">
        <v>359</v>
      </c>
      <c r="B2236" s="6" t="s">
        <v>360</v>
      </c>
      <c r="C2236" s="6" t="s">
        <v>377</v>
      </c>
      <c r="D2236" s="6" t="s">
        <v>31</v>
      </c>
      <c r="E2236" s="6" t="s">
        <v>362</v>
      </c>
      <c r="F2236" s="6" t="s">
        <v>363</v>
      </c>
      <c r="G2236" s="6" t="s">
        <v>364</v>
      </c>
      <c r="H2236" s="6" t="s">
        <v>365</v>
      </c>
      <c r="I2236" s="6" t="s">
        <v>63</v>
      </c>
      <c r="J2236" s="6">
        <v>17.026216000000002</v>
      </c>
      <c r="K2236" s="6">
        <v>-97.928115000000005</v>
      </c>
      <c r="L2236" s="6" t="str">
        <f>HYPERLINK("https://maps.google.com/?q=17.026216,-97.928115000000005", "🔗 Ver Mapa")</f>
        <v>🔗 Ver Mapa</v>
      </c>
    </row>
    <row r="2237" spans="1:12" ht="43.5" x14ac:dyDescent="0.35">
      <c r="A2237" s="5" t="s">
        <v>359</v>
      </c>
      <c r="B2237" s="5" t="s">
        <v>360</v>
      </c>
      <c r="C2237" s="5" t="s">
        <v>377</v>
      </c>
      <c r="D2237" s="5" t="s">
        <v>31</v>
      </c>
      <c r="E2237" s="5" t="s">
        <v>362</v>
      </c>
      <c r="F2237" s="5" t="s">
        <v>363</v>
      </c>
      <c r="G2237" s="5" t="s">
        <v>364</v>
      </c>
      <c r="H2237" s="5" t="s">
        <v>365</v>
      </c>
      <c r="I2237" s="5" t="s">
        <v>63</v>
      </c>
      <c r="J2237" s="5">
        <v>17.027131000000001</v>
      </c>
      <c r="K2237" s="5">
        <v>-96.077044000000001</v>
      </c>
      <c r="L2237" s="5" t="str">
        <f>HYPERLINK("https://maps.google.com/?q=17.027131,-96.077044000000001", "🔗 Ver Mapa")</f>
        <v>🔗 Ver Mapa</v>
      </c>
    </row>
    <row r="2238" spans="1:12" ht="43.5" x14ac:dyDescent="0.35">
      <c r="A2238" s="6" t="s">
        <v>359</v>
      </c>
      <c r="B2238" s="6" t="s">
        <v>360</v>
      </c>
      <c r="C2238" s="6" t="s">
        <v>377</v>
      </c>
      <c r="D2238" s="6" t="s">
        <v>31</v>
      </c>
      <c r="E2238" s="6" t="s">
        <v>362</v>
      </c>
      <c r="F2238" s="6" t="s">
        <v>363</v>
      </c>
      <c r="G2238" s="6" t="s">
        <v>364</v>
      </c>
      <c r="H2238" s="6" t="s">
        <v>365</v>
      </c>
      <c r="I2238" s="6" t="s">
        <v>63</v>
      </c>
      <c r="J2238" s="6">
        <v>17.063777999999999</v>
      </c>
      <c r="K2238" s="6">
        <v>-96.729971000000006</v>
      </c>
      <c r="L2238" s="6" t="str">
        <f>HYPERLINK("https://maps.google.com/?q=17.063778,-96.729971000000006", "🔗 Ver Mapa")</f>
        <v>🔗 Ver Mapa</v>
      </c>
    </row>
    <row r="2239" spans="1:12" ht="43.5" x14ac:dyDescent="0.35">
      <c r="A2239" s="5" t="s">
        <v>359</v>
      </c>
      <c r="B2239" s="5" t="s">
        <v>360</v>
      </c>
      <c r="C2239" s="5" t="s">
        <v>377</v>
      </c>
      <c r="D2239" s="5" t="s">
        <v>31</v>
      </c>
      <c r="E2239" s="5" t="s">
        <v>362</v>
      </c>
      <c r="F2239" s="5" t="s">
        <v>363</v>
      </c>
      <c r="G2239" s="5" t="s">
        <v>364</v>
      </c>
      <c r="H2239" s="5" t="s">
        <v>365</v>
      </c>
      <c r="I2239" s="5" t="s">
        <v>63</v>
      </c>
      <c r="J2239" s="5">
        <v>17.207464000000002</v>
      </c>
      <c r="K2239" s="5">
        <v>-96.801094000000006</v>
      </c>
      <c r="L2239" s="5" t="str">
        <f>HYPERLINK("https://maps.google.com/?q=17.207464,-96.801094000000006", "🔗 Ver Mapa")</f>
        <v>🔗 Ver Mapa</v>
      </c>
    </row>
    <row r="2240" spans="1:12" ht="43.5" x14ac:dyDescent="0.35">
      <c r="A2240" s="6" t="s">
        <v>359</v>
      </c>
      <c r="B2240" s="6" t="s">
        <v>360</v>
      </c>
      <c r="C2240" s="6" t="s">
        <v>377</v>
      </c>
      <c r="D2240" s="6" t="s">
        <v>31</v>
      </c>
      <c r="E2240" s="6" t="s">
        <v>362</v>
      </c>
      <c r="F2240" s="6" t="s">
        <v>363</v>
      </c>
      <c r="G2240" s="6" t="s">
        <v>364</v>
      </c>
      <c r="H2240" s="6" t="s">
        <v>365</v>
      </c>
      <c r="I2240" s="6" t="s">
        <v>63</v>
      </c>
      <c r="J2240" s="6">
        <v>17.267448999999999</v>
      </c>
      <c r="K2240" s="6">
        <v>-97.680485000000004</v>
      </c>
      <c r="L2240" s="6" t="str">
        <f>HYPERLINK("https://maps.google.com/?q=17.267449,-97.680485000000004", "🔗 Ver Mapa")</f>
        <v>🔗 Ver Mapa</v>
      </c>
    </row>
    <row r="2241" spans="1:12" ht="43.5" x14ac:dyDescent="0.35">
      <c r="A2241" s="5" t="s">
        <v>359</v>
      </c>
      <c r="B2241" s="5" t="s">
        <v>360</v>
      </c>
      <c r="C2241" s="5" t="s">
        <v>377</v>
      </c>
      <c r="D2241" s="5" t="s">
        <v>31</v>
      </c>
      <c r="E2241" s="5" t="s">
        <v>362</v>
      </c>
      <c r="F2241" s="5" t="s">
        <v>363</v>
      </c>
      <c r="G2241" s="5" t="s">
        <v>364</v>
      </c>
      <c r="H2241" s="5" t="s">
        <v>365</v>
      </c>
      <c r="I2241" s="5" t="s">
        <v>63</v>
      </c>
      <c r="J2241" s="5">
        <v>17.331247999999999</v>
      </c>
      <c r="K2241" s="5">
        <v>-96.487900999999994</v>
      </c>
      <c r="L2241" s="5" t="str">
        <f>HYPERLINK("https://maps.google.com/?q=17.331248,-96.487900999999994", "🔗 Ver Mapa")</f>
        <v>🔗 Ver Mapa</v>
      </c>
    </row>
    <row r="2242" spans="1:12" ht="43.5" x14ac:dyDescent="0.35">
      <c r="A2242" s="6" t="s">
        <v>359</v>
      </c>
      <c r="B2242" s="6" t="s">
        <v>360</v>
      </c>
      <c r="C2242" s="6" t="s">
        <v>377</v>
      </c>
      <c r="D2242" s="6" t="s">
        <v>31</v>
      </c>
      <c r="E2242" s="6" t="s">
        <v>362</v>
      </c>
      <c r="F2242" s="6" t="s">
        <v>363</v>
      </c>
      <c r="G2242" s="6" t="s">
        <v>364</v>
      </c>
      <c r="H2242" s="6" t="s">
        <v>365</v>
      </c>
      <c r="I2242" s="6" t="s">
        <v>63</v>
      </c>
      <c r="J2242" s="6">
        <v>17.335315999999999</v>
      </c>
      <c r="K2242" s="6">
        <v>-98.012051</v>
      </c>
      <c r="L2242" s="6" t="str">
        <f>HYPERLINK("https://maps.google.com/?q=17.335316,-98.012051", "🔗 Ver Mapa")</f>
        <v>🔗 Ver Mapa</v>
      </c>
    </row>
    <row r="2243" spans="1:12" ht="43.5" x14ac:dyDescent="0.35">
      <c r="A2243" s="5" t="s">
        <v>359</v>
      </c>
      <c r="B2243" s="5" t="s">
        <v>360</v>
      </c>
      <c r="C2243" s="5" t="s">
        <v>377</v>
      </c>
      <c r="D2243" s="5" t="s">
        <v>31</v>
      </c>
      <c r="E2243" s="5" t="s">
        <v>362</v>
      </c>
      <c r="F2243" s="5" t="s">
        <v>363</v>
      </c>
      <c r="G2243" s="5" t="s">
        <v>364</v>
      </c>
      <c r="H2243" s="5" t="s">
        <v>365</v>
      </c>
      <c r="I2243" s="5" t="s">
        <v>63</v>
      </c>
      <c r="J2243" s="5">
        <v>17.338730000000002</v>
      </c>
      <c r="K2243" s="5">
        <v>-96.152553999999995</v>
      </c>
      <c r="L2243" s="5" t="str">
        <f>HYPERLINK("https://maps.google.com/?q=17.33873,-96.152553999999995", "🔗 Ver Mapa")</f>
        <v>🔗 Ver Mapa</v>
      </c>
    </row>
    <row r="2244" spans="1:12" ht="43.5" x14ac:dyDescent="0.35">
      <c r="A2244" s="6" t="s">
        <v>359</v>
      </c>
      <c r="B2244" s="6" t="s">
        <v>360</v>
      </c>
      <c r="C2244" s="6" t="s">
        <v>377</v>
      </c>
      <c r="D2244" s="6" t="s">
        <v>31</v>
      </c>
      <c r="E2244" s="6" t="s">
        <v>362</v>
      </c>
      <c r="F2244" s="6" t="s">
        <v>363</v>
      </c>
      <c r="G2244" s="6" t="s">
        <v>364</v>
      </c>
      <c r="H2244" s="6" t="s">
        <v>365</v>
      </c>
      <c r="I2244" s="6" t="s">
        <v>63</v>
      </c>
      <c r="J2244" s="6">
        <v>17.361765999999999</v>
      </c>
      <c r="K2244" s="6">
        <v>-95.922253999999995</v>
      </c>
      <c r="L2244" s="6" t="str">
        <f>HYPERLINK("https://maps.google.com/?q=17.361766,-95.922253999999995", "🔗 Ver Mapa")</f>
        <v>🔗 Ver Mapa</v>
      </c>
    </row>
    <row r="2245" spans="1:12" ht="43.5" x14ac:dyDescent="0.35">
      <c r="A2245" s="5" t="s">
        <v>359</v>
      </c>
      <c r="B2245" s="5" t="s">
        <v>360</v>
      </c>
      <c r="C2245" s="5" t="s">
        <v>377</v>
      </c>
      <c r="D2245" s="5" t="s">
        <v>31</v>
      </c>
      <c r="E2245" s="5" t="s">
        <v>362</v>
      </c>
      <c r="F2245" s="5" t="s">
        <v>363</v>
      </c>
      <c r="G2245" s="5" t="s">
        <v>364</v>
      </c>
      <c r="H2245" s="5" t="s">
        <v>365</v>
      </c>
      <c r="I2245" s="5" t="s">
        <v>63</v>
      </c>
      <c r="J2245" s="5">
        <v>17.458341000000001</v>
      </c>
      <c r="K2245" s="5">
        <v>-97.225285</v>
      </c>
      <c r="L2245" s="5" t="str">
        <f>HYPERLINK("https://maps.google.com/?q=17.458341,-97.225285", "🔗 Ver Mapa")</f>
        <v>🔗 Ver Mapa</v>
      </c>
    </row>
    <row r="2246" spans="1:12" ht="43.5" x14ac:dyDescent="0.35">
      <c r="A2246" s="6" t="s">
        <v>359</v>
      </c>
      <c r="B2246" s="6" t="s">
        <v>360</v>
      </c>
      <c r="C2246" s="6" t="s">
        <v>377</v>
      </c>
      <c r="D2246" s="6" t="s">
        <v>31</v>
      </c>
      <c r="E2246" s="6" t="s">
        <v>362</v>
      </c>
      <c r="F2246" s="6" t="s">
        <v>363</v>
      </c>
      <c r="G2246" s="6" t="s">
        <v>364</v>
      </c>
      <c r="H2246" s="6" t="s">
        <v>365</v>
      </c>
      <c r="I2246" s="6" t="s">
        <v>63</v>
      </c>
      <c r="J2246" s="6">
        <v>17.501442000000001</v>
      </c>
      <c r="K2246" s="6">
        <v>-98.142583999999999</v>
      </c>
      <c r="L2246" s="6" t="str">
        <f>HYPERLINK("https://maps.google.com/?q=17.501442,-98.142583999999999", "🔗 Ver Mapa")</f>
        <v>🔗 Ver Mapa</v>
      </c>
    </row>
    <row r="2247" spans="1:12" ht="43.5" x14ac:dyDescent="0.35">
      <c r="A2247" s="5" t="s">
        <v>359</v>
      </c>
      <c r="B2247" s="5" t="s">
        <v>360</v>
      </c>
      <c r="C2247" s="5" t="s">
        <v>377</v>
      </c>
      <c r="D2247" s="5" t="s">
        <v>31</v>
      </c>
      <c r="E2247" s="5" t="s">
        <v>362</v>
      </c>
      <c r="F2247" s="5" t="s">
        <v>363</v>
      </c>
      <c r="G2247" s="5" t="s">
        <v>364</v>
      </c>
      <c r="H2247" s="5" t="s">
        <v>365</v>
      </c>
      <c r="I2247" s="5" t="s">
        <v>63</v>
      </c>
      <c r="J2247" s="5">
        <v>17.511838000000001</v>
      </c>
      <c r="K2247" s="5">
        <v>-97.488547999999994</v>
      </c>
      <c r="L2247" s="5" t="str">
        <f>HYPERLINK("https://maps.google.com/?q=17.511838,-97.488547999999994", "🔗 Ver Mapa")</f>
        <v>🔗 Ver Mapa</v>
      </c>
    </row>
    <row r="2248" spans="1:12" ht="43.5" x14ac:dyDescent="0.35">
      <c r="A2248" s="6" t="s">
        <v>359</v>
      </c>
      <c r="B2248" s="6" t="s">
        <v>360</v>
      </c>
      <c r="C2248" s="6" t="s">
        <v>377</v>
      </c>
      <c r="D2248" s="6" t="s">
        <v>31</v>
      </c>
      <c r="E2248" s="6" t="s">
        <v>362</v>
      </c>
      <c r="F2248" s="6" t="s">
        <v>363</v>
      </c>
      <c r="G2248" s="6" t="s">
        <v>364</v>
      </c>
      <c r="H2248" s="6" t="s">
        <v>365</v>
      </c>
      <c r="I2248" s="6" t="s">
        <v>63</v>
      </c>
      <c r="J2248" s="6">
        <v>17.724615</v>
      </c>
      <c r="K2248" s="6">
        <v>-97.323898</v>
      </c>
      <c r="L2248" s="6" t="str">
        <f>HYPERLINK("https://maps.google.com/?q=17.724615,-97.323898", "🔗 Ver Mapa")</f>
        <v>🔗 Ver Mapa</v>
      </c>
    </row>
    <row r="2249" spans="1:12" ht="43.5" x14ac:dyDescent="0.35">
      <c r="A2249" s="5" t="s">
        <v>359</v>
      </c>
      <c r="B2249" s="5" t="s">
        <v>360</v>
      </c>
      <c r="C2249" s="5" t="s">
        <v>377</v>
      </c>
      <c r="D2249" s="5" t="s">
        <v>31</v>
      </c>
      <c r="E2249" s="5" t="s">
        <v>362</v>
      </c>
      <c r="F2249" s="5" t="s">
        <v>363</v>
      </c>
      <c r="G2249" s="5" t="s">
        <v>364</v>
      </c>
      <c r="H2249" s="5" t="s">
        <v>365</v>
      </c>
      <c r="I2249" s="5" t="s">
        <v>63</v>
      </c>
      <c r="J2249" s="5">
        <v>17.801687000000001</v>
      </c>
      <c r="K2249" s="5">
        <v>-96.959688</v>
      </c>
      <c r="L2249" s="5" t="str">
        <f>HYPERLINK("https://maps.google.com/?q=17.801687,-96.959688", "🔗 Ver Mapa")</f>
        <v>🔗 Ver Mapa</v>
      </c>
    </row>
    <row r="2250" spans="1:12" ht="43.5" x14ac:dyDescent="0.35">
      <c r="A2250" s="6" t="s">
        <v>359</v>
      </c>
      <c r="B2250" s="6" t="s">
        <v>360</v>
      </c>
      <c r="C2250" s="6" t="s">
        <v>377</v>
      </c>
      <c r="D2250" s="6" t="s">
        <v>31</v>
      </c>
      <c r="E2250" s="6" t="s">
        <v>362</v>
      </c>
      <c r="F2250" s="6" t="s">
        <v>363</v>
      </c>
      <c r="G2250" s="6" t="s">
        <v>364</v>
      </c>
      <c r="H2250" s="6" t="s">
        <v>365</v>
      </c>
      <c r="I2250" s="6" t="s">
        <v>63</v>
      </c>
      <c r="J2250" s="6">
        <v>17.806621</v>
      </c>
      <c r="K2250" s="6">
        <v>-97.776161999999999</v>
      </c>
      <c r="L2250" s="6" t="str">
        <f>HYPERLINK("https://maps.google.com/?q=17.806621,-97.776161999999999", "🔗 Ver Mapa")</f>
        <v>🔗 Ver Mapa</v>
      </c>
    </row>
    <row r="2251" spans="1:12" ht="43.5" x14ac:dyDescent="0.35">
      <c r="A2251" s="5" t="s">
        <v>359</v>
      </c>
      <c r="B2251" s="5" t="s">
        <v>360</v>
      </c>
      <c r="C2251" s="5" t="s">
        <v>377</v>
      </c>
      <c r="D2251" s="5" t="s">
        <v>31</v>
      </c>
      <c r="E2251" s="5" t="s">
        <v>362</v>
      </c>
      <c r="F2251" s="5" t="s">
        <v>363</v>
      </c>
      <c r="G2251" s="5" t="s">
        <v>364</v>
      </c>
      <c r="H2251" s="5" t="s">
        <v>365</v>
      </c>
      <c r="I2251" s="5" t="s">
        <v>63</v>
      </c>
      <c r="J2251" s="5">
        <v>18.081168999999999</v>
      </c>
      <c r="K2251" s="5">
        <v>-96.118475000000004</v>
      </c>
      <c r="L2251" s="5" t="str">
        <f>HYPERLINK("https://maps.google.com/?q=18.081169,-96.118475000000004", "🔗 Ver Mapa")</f>
        <v>🔗 Ver Mapa</v>
      </c>
    </row>
    <row r="2252" spans="1:12" ht="43.5" x14ac:dyDescent="0.35">
      <c r="A2252" s="6" t="s">
        <v>359</v>
      </c>
      <c r="B2252" s="6" t="s">
        <v>360</v>
      </c>
      <c r="C2252" s="6" t="s">
        <v>377</v>
      </c>
      <c r="D2252" s="6" t="s">
        <v>31</v>
      </c>
      <c r="E2252" s="6" t="s">
        <v>362</v>
      </c>
      <c r="F2252" s="6" t="s">
        <v>363</v>
      </c>
      <c r="G2252" s="6" t="s">
        <v>364</v>
      </c>
      <c r="H2252" s="6" t="s">
        <v>365</v>
      </c>
      <c r="I2252" s="6" t="s">
        <v>63</v>
      </c>
      <c r="J2252" s="6">
        <v>18.13222</v>
      </c>
      <c r="K2252" s="6">
        <v>-97.070751000000001</v>
      </c>
      <c r="L2252" s="6" t="str">
        <f>HYPERLINK("https://maps.google.com/?q=18.13222,-97.070751000000001", "🔗 Ver Mapa")</f>
        <v>🔗 Ver Mapa</v>
      </c>
    </row>
    <row r="2253" spans="1:12" ht="43.5" x14ac:dyDescent="0.35">
      <c r="A2253" s="5" t="s">
        <v>359</v>
      </c>
      <c r="B2253" s="5" t="s">
        <v>360</v>
      </c>
      <c r="C2253" s="5" t="s">
        <v>378</v>
      </c>
      <c r="D2253" s="5" t="s">
        <v>31</v>
      </c>
      <c r="E2253" s="5" t="s">
        <v>362</v>
      </c>
      <c r="F2253" s="5" t="s">
        <v>363</v>
      </c>
      <c r="G2253" s="5" t="s">
        <v>364</v>
      </c>
      <c r="H2253" s="5" t="s">
        <v>365</v>
      </c>
      <c r="I2253" s="5" t="s">
        <v>63</v>
      </c>
      <c r="J2253" s="5">
        <v>15.746143999999999</v>
      </c>
      <c r="K2253" s="5">
        <v>-96.465182999999996</v>
      </c>
      <c r="L2253" s="5" t="str">
        <f>HYPERLINK("https://maps.google.com/?q=15.746144,-96.465182999999996", "🔗 Ver Mapa")</f>
        <v>🔗 Ver Mapa</v>
      </c>
    </row>
    <row r="2254" spans="1:12" ht="43.5" x14ac:dyDescent="0.35">
      <c r="A2254" s="6" t="s">
        <v>359</v>
      </c>
      <c r="B2254" s="6" t="s">
        <v>360</v>
      </c>
      <c r="C2254" s="6" t="s">
        <v>378</v>
      </c>
      <c r="D2254" s="6" t="s">
        <v>31</v>
      </c>
      <c r="E2254" s="6" t="s">
        <v>362</v>
      </c>
      <c r="F2254" s="6" t="s">
        <v>363</v>
      </c>
      <c r="G2254" s="6" t="s">
        <v>364</v>
      </c>
      <c r="H2254" s="6" t="s">
        <v>365</v>
      </c>
      <c r="I2254" s="6" t="s">
        <v>63</v>
      </c>
      <c r="J2254" s="6">
        <v>16.237075999999998</v>
      </c>
      <c r="K2254" s="6">
        <v>-97.292351999999994</v>
      </c>
      <c r="L2254" s="6" t="str">
        <f>HYPERLINK("https://maps.google.com/?q=16.237076,-97.292351999999994", "🔗 Ver Mapa")</f>
        <v>🔗 Ver Mapa</v>
      </c>
    </row>
    <row r="2255" spans="1:12" ht="43.5" x14ac:dyDescent="0.35">
      <c r="A2255" s="5" t="s">
        <v>359</v>
      </c>
      <c r="B2255" s="5" t="s">
        <v>360</v>
      </c>
      <c r="C2255" s="5" t="s">
        <v>378</v>
      </c>
      <c r="D2255" s="5" t="s">
        <v>31</v>
      </c>
      <c r="E2255" s="5" t="s">
        <v>362</v>
      </c>
      <c r="F2255" s="5" t="s">
        <v>363</v>
      </c>
      <c r="G2255" s="5" t="s">
        <v>364</v>
      </c>
      <c r="H2255" s="5" t="s">
        <v>365</v>
      </c>
      <c r="I2255" s="5" t="s">
        <v>63</v>
      </c>
      <c r="J2255" s="5">
        <v>16.279057999999999</v>
      </c>
      <c r="K2255" s="5">
        <v>-97.820240999999996</v>
      </c>
      <c r="L2255" s="5" t="str">
        <f>HYPERLINK("https://maps.google.com/?q=16.279058,-97.820240999999996", "🔗 Ver Mapa")</f>
        <v>🔗 Ver Mapa</v>
      </c>
    </row>
    <row r="2256" spans="1:12" ht="43.5" x14ac:dyDescent="0.35">
      <c r="A2256" s="6" t="s">
        <v>359</v>
      </c>
      <c r="B2256" s="6" t="s">
        <v>360</v>
      </c>
      <c r="C2256" s="6" t="s">
        <v>378</v>
      </c>
      <c r="D2256" s="6" t="s">
        <v>31</v>
      </c>
      <c r="E2256" s="6" t="s">
        <v>362</v>
      </c>
      <c r="F2256" s="6" t="s">
        <v>363</v>
      </c>
      <c r="G2256" s="6" t="s">
        <v>364</v>
      </c>
      <c r="H2256" s="6" t="s">
        <v>365</v>
      </c>
      <c r="I2256" s="6" t="s">
        <v>63</v>
      </c>
      <c r="J2256" s="6">
        <v>16.328751</v>
      </c>
      <c r="K2256" s="6">
        <v>-96.596529000000004</v>
      </c>
      <c r="L2256" s="6" t="str">
        <f>HYPERLINK("https://maps.google.com/?q=16.328751,-96.596529000000004", "🔗 Ver Mapa")</f>
        <v>🔗 Ver Mapa</v>
      </c>
    </row>
    <row r="2257" spans="1:12" ht="43.5" x14ac:dyDescent="0.35">
      <c r="A2257" s="5" t="s">
        <v>359</v>
      </c>
      <c r="B2257" s="5" t="s">
        <v>360</v>
      </c>
      <c r="C2257" s="5" t="s">
        <v>378</v>
      </c>
      <c r="D2257" s="5" t="s">
        <v>31</v>
      </c>
      <c r="E2257" s="5" t="s">
        <v>362</v>
      </c>
      <c r="F2257" s="5" t="s">
        <v>363</v>
      </c>
      <c r="G2257" s="5" t="s">
        <v>364</v>
      </c>
      <c r="H2257" s="5" t="s">
        <v>365</v>
      </c>
      <c r="I2257" s="5" t="s">
        <v>63</v>
      </c>
      <c r="J2257" s="5">
        <v>16.332014000000001</v>
      </c>
      <c r="K2257" s="5">
        <v>-95.231966</v>
      </c>
      <c r="L2257" s="5" t="str">
        <f>HYPERLINK("https://maps.google.com/?q=16.332014,-95.231966", "🔗 Ver Mapa")</f>
        <v>🔗 Ver Mapa</v>
      </c>
    </row>
    <row r="2258" spans="1:12" ht="43.5" x14ac:dyDescent="0.35">
      <c r="A2258" s="6" t="s">
        <v>359</v>
      </c>
      <c r="B2258" s="6" t="s">
        <v>360</v>
      </c>
      <c r="C2258" s="6" t="s">
        <v>378</v>
      </c>
      <c r="D2258" s="6" t="s">
        <v>31</v>
      </c>
      <c r="E2258" s="6" t="s">
        <v>362</v>
      </c>
      <c r="F2258" s="6" t="s">
        <v>363</v>
      </c>
      <c r="G2258" s="6" t="s">
        <v>364</v>
      </c>
      <c r="H2258" s="6" t="s">
        <v>365</v>
      </c>
      <c r="I2258" s="6" t="s">
        <v>63</v>
      </c>
      <c r="J2258" s="6">
        <v>16.433347000000001</v>
      </c>
      <c r="K2258" s="6">
        <v>-95.021687</v>
      </c>
      <c r="L2258" s="6" t="str">
        <f>HYPERLINK("https://maps.google.com/?q=16.433347,-95.021687", "🔗 Ver Mapa")</f>
        <v>🔗 Ver Mapa</v>
      </c>
    </row>
    <row r="2259" spans="1:12" ht="43.5" x14ac:dyDescent="0.35">
      <c r="A2259" s="5" t="s">
        <v>359</v>
      </c>
      <c r="B2259" s="5" t="s">
        <v>360</v>
      </c>
      <c r="C2259" s="5" t="s">
        <v>378</v>
      </c>
      <c r="D2259" s="5" t="s">
        <v>31</v>
      </c>
      <c r="E2259" s="5" t="s">
        <v>362</v>
      </c>
      <c r="F2259" s="5" t="s">
        <v>363</v>
      </c>
      <c r="G2259" s="5" t="s">
        <v>364</v>
      </c>
      <c r="H2259" s="5" t="s">
        <v>365</v>
      </c>
      <c r="I2259" s="5" t="s">
        <v>63</v>
      </c>
      <c r="J2259" s="5">
        <v>16.500512000000001</v>
      </c>
      <c r="K2259" s="5">
        <v>-96.106790000000004</v>
      </c>
      <c r="L2259" s="5" t="str">
        <f>HYPERLINK("https://maps.google.com/?q=16.500512,-96.106790000000004", "🔗 Ver Mapa")</f>
        <v>🔗 Ver Mapa</v>
      </c>
    </row>
    <row r="2260" spans="1:12" ht="43.5" x14ac:dyDescent="0.35">
      <c r="A2260" s="6" t="s">
        <v>359</v>
      </c>
      <c r="B2260" s="6" t="s">
        <v>360</v>
      </c>
      <c r="C2260" s="6" t="s">
        <v>378</v>
      </c>
      <c r="D2260" s="6" t="s">
        <v>31</v>
      </c>
      <c r="E2260" s="6" t="s">
        <v>362</v>
      </c>
      <c r="F2260" s="6" t="s">
        <v>363</v>
      </c>
      <c r="G2260" s="6" t="s">
        <v>364</v>
      </c>
      <c r="H2260" s="6" t="s">
        <v>365</v>
      </c>
      <c r="I2260" s="6" t="s">
        <v>63</v>
      </c>
      <c r="J2260" s="6">
        <v>16.519807</v>
      </c>
      <c r="K2260" s="6">
        <v>-96.983885000000001</v>
      </c>
      <c r="L2260" s="6" t="str">
        <f>HYPERLINK("https://maps.google.com/?q=16.519807,-96.983885000000001", "🔗 Ver Mapa")</f>
        <v>🔗 Ver Mapa</v>
      </c>
    </row>
    <row r="2261" spans="1:12" ht="43.5" x14ac:dyDescent="0.35">
      <c r="A2261" s="5" t="s">
        <v>359</v>
      </c>
      <c r="B2261" s="5" t="s">
        <v>360</v>
      </c>
      <c r="C2261" s="5" t="s">
        <v>378</v>
      </c>
      <c r="D2261" s="5" t="s">
        <v>31</v>
      </c>
      <c r="E2261" s="5" t="s">
        <v>362</v>
      </c>
      <c r="F2261" s="5" t="s">
        <v>363</v>
      </c>
      <c r="G2261" s="5" t="s">
        <v>364</v>
      </c>
      <c r="H2261" s="5" t="s">
        <v>365</v>
      </c>
      <c r="I2261" s="5" t="s">
        <v>63</v>
      </c>
      <c r="J2261" s="5">
        <v>16.564243999999999</v>
      </c>
      <c r="K2261" s="5">
        <v>-96.731829000000005</v>
      </c>
      <c r="L2261" s="5" t="str">
        <f>HYPERLINK("https://maps.google.com/?q=16.564244,-96.731829000000005", "🔗 Ver Mapa")</f>
        <v>🔗 Ver Mapa</v>
      </c>
    </row>
    <row r="2262" spans="1:12" ht="43.5" x14ac:dyDescent="0.35">
      <c r="A2262" s="6" t="s">
        <v>359</v>
      </c>
      <c r="B2262" s="6" t="s">
        <v>360</v>
      </c>
      <c r="C2262" s="6" t="s">
        <v>378</v>
      </c>
      <c r="D2262" s="6" t="s">
        <v>31</v>
      </c>
      <c r="E2262" s="6" t="s">
        <v>362</v>
      </c>
      <c r="F2262" s="6" t="s">
        <v>363</v>
      </c>
      <c r="G2262" s="6" t="s">
        <v>364</v>
      </c>
      <c r="H2262" s="6" t="s">
        <v>365</v>
      </c>
      <c r="I2262" s="6" t="s">
        <v>63</v>
      </c>
      <c r="J2262" s="6">
        <v>16.791625</v>
      </c>
      <c r="K2262" s="6">
        <v>-96.674999</v>
      </c>
      <c r="L2262" s="6" t="str">
        <f>HYPERLINK("https://maps.google.com/?q=16.791625,-96.674999", "🔗 Ver Mapa")</f>
        <v>🔗 Ver Mapa</v>
      </c>
    </row>
    <row r="2263" spans="1:12" ht="43.5" x14ac:dyDescent="0.35">
      <c r="A2263" s="5" t="s">
        <v>359</v>
      </c>
      <c r="B2263" s="5" t="s">
        <v>360</v>
      </c>
      <c r="C2263" s="5" t="s">
        <v>378</v>
      </c>
      <c r="D2263" s="5" t="s">
        <v>31</v>
      </c>
      <c r="E2263" s="5" t="s">
        <v>362</v>
      </c>
      <c r="F2263" s="5" t="s">
        <v>363</v>
      </c>
      <c r="G2263" s="5" t="s">
        <v>364</v>
      </c>
      <c r="H2263" s="5" t="s">
        <v>365</v>
      </c>
      <c r="I2263" s="5" t="s">
        <v>63</v>
      </c>
      <c r="J2263" s="5">
        <v>16.866371000000001</v>
      </c>
      <c r="K2263" s="5">
        <v>-96.785623000000001</v>
      </c>
      <c r="L2263" s="5" t="str">
        <f>HYPERLINK("https://maps.google.com/?q=16.866371,-96.785623000000001", "🔗 Ver Mapa")</f>
        <v>🔗 Ver Mapa</v>
      </c>
    </row>
    <row r="2264" spans="1:12" ht="43.5" x14ac:dyDescent="0.35">
      <c r="A2264" s="6" t="s">
        <v>359</v>
      </c>
      <c r="B2264" s="6" t="s">
        <v>360</v>
      </c>
      <c r="C2264" s="6" t="s">
        <v>378</v>
      </c>
      <c r="D2264" s="6" t="s">
        <v>31</v>
      </c>
      <c r="E2264" s="6" t="s">
        <v>362</v>
      </c>
      <c r="F2264" s="6" t="s">
        <v>363</v>
      </c>
      <c r="G2264" s="6" t="s">
        <v>364</v>
      </c>
      <c r="H2264" s="6" t="s">
        <v>365</v>
      </c>
      <c r="I2264" s="6" t="s">
        <v>63</v>
      </c>
      <c r="J2264" s="6">
        <v>16.950706</v>
      </c>
      <c r="K2264" s="6">
        <v>-96.750504000000006</v>
      </c>
      <c r="L2264" s="6" t="str">
        <f>HYPERLINK("https://maps.google.com/?q=16.950706,-96.750504000000006", "🔗 Ver Mapa")</f>
        <v>🔗 Ver Mapa</v>
      </c>
    </row>
    <row r="2265" spans="1:12" ht="43.5" x14ac:dyDescent="0.35">
      <c r="A2265" s="5" t="s">
        <v>359</v>
      </c>
      <c r="B2265" s="5" t="s">
        <v>360</v>
      </c>
      <c r="C2265" s="5" t="s">
        <v>378</v>
      </c>
      <c r="D2265" s="5" t="s">
        <v>31</v>
      </c>
      <c r="E2265" s="5" t="s">
        <v>362</v>
      </c>
      <c r="F2265" s="5" t="s">
        <v>363</v>
      </c>
      <c r="G2265" s="5" t="s">
        <v>364</v>
      </c>
      <c r="H2265" s="5" t="s">
        <v>365</v>
      </c>
      <c r="I2265" s="5" t="s">
        <v>63</v>
      </c>
      <c r="J2265" s="5">
        <v>16.955580000000001</v>
      </c>
      <c r="K2265" s="5">
        <v>-96.479206000000005</v>
      </c>
      <c r="L2265" s="5" t="str">
        <f>HYPERLINK("https://maps.google.com/?q=16.95558,-96.479206000000005", "🔗 Ver Mapa")</f>
        <v>🔗 Ver Mapa</v>
      </c>
    </row>
    <row r="2266" spans="1:12" ht="43.5" x14ac:dyDescent="0.35">
      <c r="A2266" s="6" t="s">
        <v>359</v>
      </c>
      <c r="B2266" s="6" t="s">
        <v>360</v>
      </c>
      <c r="C2266" s="6" t="s">
        <v>378</v>
      </c>
      <c r="D2266" s="6" t="s">
        <v>31</v>
      </c>
      <c r="E2266" s="6" t="s">
        <v>362</v>
      </c>
      <c r="F2266" s="6" t="s">
        <v>363</v>
      </c>
      <c r="G2266" s="6" t="s">
        <v>364</v>
      </c>
      <c r="H2266" s="6" t="s">
        <v>365</v>
      </c>
      <c r="I2266" s="6" t="s">
        <v>63</v>
      </c>
      <c r="J2266" s="6">
        <v>17.026216000000002</v>
      </c>
      <c r="K2266" s="6">
        <v>-97.928115000000005</v>
      </c>
      <c r="L2266" s="6" t="str">
        <f>HYPERLINK("https://maps.google.com/?q=17.026216,-97.928115000000005", "🔗 Ver Mapa")</f>
        <v>🔗 Ver Mapa</v>
      </c>
    </row>
    <row r="2267" spans="1:12" ht="43.5" x14ac:dyDescent="0.35">
      <c r="A2267" s="5" t="s">
        <v>359</v>
      </c>
      <c r="B2267" s="5" t="s">
        <v>360</v>
      </c>
      <c r="C2267" s="5" t="s">
        <v>378</v>
      </c>
      <c r="D2267" s="5" t="s">
        <v>31</v>
      </c>
      <c r="E2267" s="5" t="s">
        <v>362</v>
      </c>
      <c r="F2267" s="5" t="s">
        <v>363</v>
      </c>
      <c r="G2267" s="5" t="s">
        <v>364</v>
      </c>
      <c r="H2267" s="5" t="s">
        <v>365</v>
      </c>
      <c r="I2267" s="5" t="s">
        <v>63</v>
      </c>
      <c r="J2267" s="5">
        <v>17.027131000000001</v>
      </c>
      <c r="K2267" s="5">
        <v>-96.077044000000001</v>
      </c>
      <c r="L2267" s="5" t="str">
        <f>HYPERLINK("https://maps.google.com/?q=17.027131,-96.077044000000001", "🔗 Ver Mapa")</f>
        <v>🔗 Ver Mapa</v>
      </c>
    </row>
    <row r="2268" spans="1:12" ht="43.5" x14ac:dyDescent="0.35">
      <c r="A2268" s="6" t="s">
        <v>359</v>
      </c>
      <c r="B2268" s="6" t="s">
        <v>360</v>
      </c>
      <c r="C2268" s="6" t="s">
        <v>378</v>
      </c>
      <c r="D2268" s="6" t="s">
        <v>31</v>
      </c>
      <c r="E2268" s="6" t="s">
        <v>362</v>
      </c>
      <c r="F2268" s="6" t="s">
        <v>363</v>
      </c>
      <c r="G2268" s="6" t="s">
        <v>364</v>
      </c>
      <c r="H2268" s="6" t="s">
        <v>365</v>
      </c>
      <c r="I2268" s="6" t="s">
        <v>63</v>
      </c>
      <c r="J2268" s="6">
        <v>17.063777999999999</v>
      </c>
      <c r="K2268" s="6">
        <v>-96.729971000000006</v>
      </c>
      <c r="L2268" s="6" t="str">
        <f>HYPERLINK("https://maps.google.com/?q=17.063778,-96.729971000000006", "🔗 Ver Mapa")</f>
        <v>🔗 Ver Mapa</v>
      </c>
    </row>
    <row r="2269" spans="1:12" ht="43.5" x14ac:dyDescent="0.35">
      <c r="A2269" s="5" t="s">
        <v>359</v>
      </c>
      <c r="B2269" s="5" t="s">
        <v>360</v>
      </c>
      <c r="C2269" s="5" t="s">
        <v>378</v>
      </c>
      <c r="D2269" s="5" t="s">
        <v>31</v>
      </c>
      <c r="E2269" s="5" t="s">
        <v>362</v>
      </c>
      <c r="F2269" s="5" t="s">
        <v>363</v>
      </c>
      <c r="G2269" s="5" t="s">
        <v>364</v>
      </c>
      <c r="H2269" s="5" t="s">
        <v>365</v>
      </c>
      <c r="I2269" s="5" t="s">
        <v>63</v>
      </c>
      <c r="J2269" s="5">
        <v>17.207464000000002</v>
      </c>
      <c r="K2269" s="5">
        <v>-96.801094000000006</v>
      </c>
      <c r="L2269" s="5" t="str">
        <f>HYPERLINK("https://maps.google.com/?q=17.207464,-96.801094000000006", "🔗 Ver Mapa")</f>
        <v>🔗 Ver Mapa</v>
      </c>
    </row>
    <row r="2270" spans="1:12" ht="43.5" x14ac:dyDescent="0.35">
      <c r="A2270" s="6" t="s">
        <v>359</v>
      </c>
      <c r="B2270" s="6" t="s">
        <v>360</v>
      </c>
      <c r="C2270" s="6" t="s">
        <v>378</v>
      </c>
      <c r="D2270" s="6" t="s">
        <v>31</v>
      </c>
      <c r="E2270" s="6" t="s">
        <v>362</v>
      </c>
      <c r="F2270" s="6" t="s">
        <v>363</v>
      </c>
      <c r="G2270" s="6" t="s">
        <v>364</v>
      </c>
      <c r="H2270" s="6" t="s">
        <v>365</v>
      </c>
      <c r="I2270" s="6" t="s">
        <v>63</v>
      </c>
      <c r="J2270" s="6">
        <v>17.267448999999999</v>
      </c>
      <c r="K2270" s="6">
        <v>-97.680485000000004</v>
      </c>
      <c r="L2270" s="6" t="str">
        <f>HYPERLINK("https://maps.google.com/?q=17.267449,-97.680485000000004", "🔗 Ver Mapa")</f>
        <v>🔗 Ver Mapa</v>
      </c>
    </row>
    <row r="2271" spans="1:12" ht="43.5" x14ac:dyDescent="0.35">
      <c r="A2271" s="5" t="s">
        <v>359</v>
      </c>
      <c r="B2271" s="5" t="s">
        <v>360</v>
      </c>
      <c r="C2271" s="5" t="s">
        <v>378</v>
      </c>
      <c r="D2271" s="5" t="s">
        <v>31</v>
      </c>
      <c r="E2271" s="5" t="s">
        <v>362</v>
      </c>
      <c r="F2271" s="5" t="s">
        <v>363</v>
      </c>
      <c r="G2271" s="5" t="s">
        <v>364</v>
      </c>
      <c r="H2271" s="5" t="s">
        <v>365</v>
      </c>
      <c r="I2271" s="5" t="s">
        <v>63</v>
      </c>
      <c r="J2271" s="5">
        <v>17.331247999999999</v>
      </c>
      <c r="K2271" s="5">
        <v>-96.487900999999994</v>
      </c>
      <c r="L2271" s="5" t="str">
        <f>HYPERLINK("https://maps.google.com/?q=17.331248,-96.487900999999994", "🔗 Ver Mapa")</f>
        <v>🔗 Ver Mapa</v>
      </c>
    </row>
    <row r="2272" spans="1:12" ht="43.5" x14ac:dyDescent="0.35">
      <c r="A2272" s="6" t="s">
        <v>359</v>
      </c>
      <c r="B2272" s="6" t="s">
        <v>360</v>
      </c>
      <c r="C2272" s="6" t="s">
        <v>378</v>
      </c>
      <c r="D2272" s="6" t="s">
        <v>31</v>
      </c>
      <c r="E2272" s="6" t="s">
        <v>362</v>
      </c>
      <c r="F2272" s="6" t="s">
        <v>363</v>
      </c>
      <c r="G2272" s="6" t="s">
        <v>364</v>
      </c>
      <c r="H2272" s="6" t="s">
        <v>365</v>
      </c>
      <c r="I2272" s="6" t="s">
        <v>63</v>
      </c>
      <c r="J2272" s="6">
        <v>17.335315999999999</v>
      </c>
      <c r="K2272" s="6">
        <v>-98.012051</v>
      </c>
      <c r="L2272" s="6" t="str">
        <f>HYPERLINK("https://maps.google.com/?q=17.335316,-98.012051", "🔗 Ver Mapa")</f>
        <v>🔗 Ver Mapa</v>
      </c>
    </row>
    <row r="2273" spans="1:12" ht="43.5" x14ac:dyDescent="0.35">
      <c r="A2273" s="5" t="s">
        <v>359</v>
      </c>
      <c r="B2273" s="5" t="s">
        <v>360</v>
      </c>
      <c r="C2273" s="5" t="s">
        <v>378</v>
      </c>
      <c r="D2273" s="5" t="s">
        <v>31</v>
      </c>
      <c r="E2273" s="5" t="s">
        <v>362</v>
      </c>
      <c r="F2273" s="5" t="s">
        <v>363</v>
      </c>
      <c r="G2273" s="5" t="s">
        <v>364</v>
      </c>
      <c r="H2273" s="5" t="s">
        <v>365</v>
      </c>
      <c r="I2273" s="5" t="s">
        <v>63</v>
      </c>
      <c r="J2273" s="5">
        <v>17.338730000000002</v>
      </c>
      <c r="K2273" s="5">
        <v>-96.152553999999995</v>
      </c>
      <c r="L2273" s="5" t="str">
        <f>HYPERLINK("https://maps.google.com/?q=17.33873,-96.152553999999995", "🔗 Ver Mapa")</f>
        <v>🔗 Ver Mapa</v>
      </c>
    </row>
    <row r="2274" spans="1:12" ht="43.5" x14ac:dyDescent="0.35">
      <c r="A2274" s="6" t="s">
        <v>359</v>
      </c>
      <c r="B2274" s="6" t="s">
        <v>360</v>
      </c>
      <c r="C2274" s="6" t="s">
        <v>378</v>
      </c>
      <c r="D2274" s="6" t="s">
        <v>31</v>
      </c>
      <c r="E2274" s="6" t="s">
        <v>362</v>
      </c>
      <c r="F2274" s="6" t="s">
        <v>363</v>
      </c>
      <c r="G2274" s="6" t="s">
        <v>364</v>
      </c>
      <c r="H2274" s="6" t="s">
        <v>365</v>
      </c>
      <c r="I2274" s="6" t="s">
        <v>63</v>
      </c>
      <c r="J2274" s="6">
        <v>17.361765999999999</v>
      </c>
      <c r="K2274" s="6">
        <v>-95.922253999999995</v>
      </c>
      <c r="L2274" s="6" t="str">
        <f>HYPERLINK("https://maps.google.com/?q=17.361766,-95.922253999999995", "🔗 Ver Mapa")</f>
        <v>🔗 Ver Mapa</v>
      </c>
    </row>
    <row r="2275" spans="1:12" ht="43.5" x14ac:dyDescent="0.35">
      <c r="A2275" s="5" t="s">
        <v>359</v>
      </c>
      <c r="B2275" s="5" t="s">
        <v>360</v>
      </c>
      <c r="C2275" s="5" t="s">
        <v>378</v>
      </c>
      <c r="D2275" s="5" t="s">
        <v>31</v>
      </c>
      <c r="E2275" s="5" t="s">
        <v>362</v>
      </c>
      <c r="F2275" s="5" t="s">
        <v>363</v>
      </c>
      <c r="G2275" s="5" t="s">
        <v>364</v>
      </c>
      <c r="H2275" s="5" t="s">
        <v>365</v>
      </c>
      <c r="I2275" s="5" t="s">
        <v>63</v>
      </c>
      <c r="J2275" s="5">
        <v>17.458341000000001</v>
      </c>
      <c r="K2275" s="5">
        <v>-97.225285</v>
      </c>
      <c r="L2275" s="5" t="str">
        <f>HYPERLINK("https://maps.google.com/?q=17.458341,-97.225285", "🔗 Ver Mapa")</f>
        <v>🔗 Ver Mapa</v>
      </c>
    </row>
    <row r="2276" spans="1:12" ht="43.5" x14ac:dyDescent="0.35">
      <c r="A2276" s="6" t="s">
        <v>359</v>
      </c>
      <c r="B2276" s="6" t="s">
        <v>360</v>
      </c>
      <c r="C2276" s="6" t="s">
        <v>378</v>
      </c>
      <c r="D2276" s="6" t="s">
        <v>31</v>
      </c>
      <c r="E2276" s="6" t="s">
        <v>362</v>
      </c>
      <c r="F2276" s="6" t="s">
        <v>363</v>
      </c>
      <c r="G2276" s="6" t="s">
        <v>364</v>
      </c>
      <c r="H2276" s="6" t="s">
        <v>365</v>
      </c>
      <c r="I2276" s="6" t="s">
        <v>63</v>
      </c>
      <c r="J2276" s="6">
        <v>17.501442000000001</v>
      </c>
      <c r="K2276" s="6">
        <v>-98.142583999999999</v>
      </c>
      <c r="L2276" s="6" t="str">
        <f>HYPERLINK("https://maps.google.com/?q=17.501442,-98.142583999999999", "🔗 Ver Mapa")</f>
        <v>🔗 Ver Mapa</v>
      </c>
    </row>
    <row r="2277" spans="1:12" ht="43.5" x14ac:dyDescent="0.35">
      <c r="A2277" s="5" t="s">
        <v>359</v>
      </c>
      <c r="B2277" s="5" t="s">
        <v>360</v>
      </c>
      <c r="C2277" s="5" t="s">
        <v>378</v>
      </c>
      <c r="D2277" s="5" t="s">
        <v>31</v>
      </c>
      <c r="E2277" s="5" t="s">
        <v>362</v>
      </c>
      <c r="F2277" s="5" t="s">
        <v>363</v>
      </c>
      <c r="G2277" s="5" t="s">
        <v>364</v>
      </c>
      <c r="H2277" s="5" t="s">
        <v>365</v>
      </c>
      <c r="I2277" s="5" t="s">
        <v>63</v>
      </c>
      <c r="J2277" s="5">
        <v>17.511838000000001</v>
      </c>
      <c r="K2277" s="5">
        <v>-97.488547999999994</v>
      </c>
      <c r="L2277" s="5" t="str">
        <f>HYPERLINK("https://maps.google.com/?q=17.511838,-97.488547999999994", "🔗 Ver Mapa")</f>
        <v>🔗 Ver Mapa</v>
      </c>
    </row>
    <row r="2278" spans="1:12" ht="43.5" x14ac:dyDescent="0.35">
      <c r="A2278" s="6" t="s">
        <v>359</v>
      </c>
      <c r="B2278" s="6" t="s">
        <v>360</v>
      </c>
      <c r="C2278" s="6" t="s">
        <v>378</v>
      </c>
      <c r="D2278" s="6" t="s">
        <v>31</v>
      </c>
      <c r="E2278" s="6" t="s">
        <v>362</v>
      </c>
      <c r="F2278" s="6" t="s">
        <v>363</v>
      </c>
      <c r="G2278" s="6" t="s">
        <v>364</v>
      </c>
      <c r="H2278" s="6" t="s">
        <v>365</v>
      </c>
      <c r="I2278" s="6" t="s">
        <v>63</v>
      </c>
      <c r="J2278" s="6">
        <v>17.724615</v>
      </c>
      <c r="K2278" s="6">
        <v>-97.323898</v>
      </c>
      <c r="L2278" s="6" t="str">
        <f>HYPERLINK("https://maps.google.com/?q=17.724615,-97.323898", "🔗 Ver Mapa")</f>
        <v>🔗 Ver Mapa</v>
      </c>
    </row>
    <row r="2279" spans="1:12" ht="43.5" x14ac:dyDescent="0.35">
      <c r="A2279" s="5" t="s">
        <v>359</v>
      </c>
      <c r="B2279" s="5" t="s">
        <v>360</v>
      </c>
      <c r="C2279" s="5" t="s">
        <v>378</v>
      </c>
      <c r="D2279" s="5" t="s">
        <v>31</v>
      </c>
      <c r="E2279" s="5" t="s">
        <v>362</v>
      </c>
      <c r="F2279" s="5" t="s">
        <v>363</v>
      </c>
      <c r="G2279" s="5" t="s">
        <v>364</v>
      </c>
      <c r="H2279" s="5" t="s">
        <v>365</v>
      </c>
      <c r="I2279" s="5" t="s">
        <v>63</v>
      </c>
      <c r="J2279" s="5">
        <v>17.801687000000001</v>
      </c>
      <c r="K2279" s="5">
        <v>-96.959688</v>
      </c>
      <c r="L2279" s="5" t="str">
        <f>HYPERLINK("https://maps.google.com/?q=17.801687,-96.959688", "🔗 Ver Mapa")</f>
        <v>🔗 Ver Mapa</v>
      </c>
    </row>
    <row r="2280" spans="1:12" ht="43.5" x14ac:dyDescent="0.35">
      <c r="A2280" s="6" t="s">
        <v>359</v>
      </c>
      <c r="B2280" s="6" t="s">
        <v>360</v>
      </c>
      <c r="C2280" s="6" t="s">
        <v>378</v>
      </c>
      <c r="D2280" s="6" t="s">
        <v>31</v>
      </c>
      <c r="E2280" s="6" t="s">
        <v>362</v>
      </c>
      <c r="F2280" s="6" t="s">
        <v>363</v>
      </c>
      <c r="G2280" s="6" t="s">
        <v>364</v>
      </c>
      <c r="H2280" s="6" t="s">
        <v>365</v>
      </c>
      <c r="I2280" s="6" t="s">
        <v>63</v>
      </c>
      <c r="J2280" s="6">
        <v>17.806621</v>
      </c>
      <c r="K2280" s="6">
        <v>-97.776161999999999</v>
      </c>
      <c r="L2280" s="6" t="str">
        <f>HYPERLINK("https://maps.google.com/?q=17.806621,-97.776161999999999", "🔗 Ver Mapa")</f>
        <v>🔗 Ver Mapa</v>
      </c>
    </row>
    <row r="2281" spans="1:12" ht="43.5" x14ac:dyDescent="0.35">
      <c r="A2281" s="5" t="s">
        <v>359</v>
      </c>
      <c r="B2281" s="5" t="s">
        <v>360</v>
      </c>
      <c r="C2281" s="5" t="s">
        <v>378</v>
      </c>
      <c r="D2281" s="5" t="s">
        <v>31</v>
      </c>
      <c r="E2281" s="5" t="s">
        <v>362</v>
      </c>
      <c r="F2281" s="5" t="s">
        <v>363</v>
      </c>
      <c r="G2281" s="5" t="s">
        <v>364</v>
      </c>
      <c r="H2281" s="5" t="s">
        <v>365</v>
      </c>
      <c r="I2281" s="5" t="s">
        <v>63</v>
      </c>
      <c r="J2281" s="5">
        <v>18.081168999999999</v>
      </c>
      <c r="K2281" s="5">
        <v>-96.118475000000004</v>
      </c>
      <c r="L2281" s="5" t="str">
        <f>HYPERLINK("https://maps.google.com/?q=18.081169,-96.118475000000004", "🔗 Ver Mapa")</f>
        <v>🔗 Ver Mapa</v>
      </c>
    </row>
    <row r="2282" spans="1:12" ht="43.5" x14ac:dyDescent="0.35">
      <c r="A2282" s="6" t="s">
        <v>359</v>
      </c>
      <c r="B2282" s="6" t="s">
        <v>360</v>
      </c>
      <c r="C2282" s="6" t="s">
        <v>378</v>
      </c>
      <c r="D2282" s="6" t="s">
        <v>31</v>
      </c>
      <c r="E2282" s="6" t="s">
        <v>362</v>
      </c>
      <c r="F2282" s="6" t="s">
        <v>363</v>
      </c>
      <c r="G2282" s="6" t="s">
        <v>364</v>
      </c>
      <c r="H2282" s="6" t="s">
        <v>365</v>
      </c>
      <c r="I2282" s="6" t="s">
        <v>63</v>
      </c>
      <c r="J2282" s="6">
        <v>18.13222</v>
      </c>
      <c r="K2282" s="6">
        <v>-97.070751000000001</v>
      </c>
      <c r="L2282" s="6" t="str">
        <f>HYPERLINK("https://maps.google.com/?q=18.13222,-97.070751000000001", "🔗 Ver Mapa")</f>
        <v>🔗 Ver Mapa</v>
      </c>
    </row>
    <row r="2283" spans="1:12" ht="43.5" x14ac:dyDescent="0.35">
      <c r="A2283" s="5" t="s">
        <v>359</v>
      </c>
      <c r="B2283" s="5" t="s">
        <v>360</v>
      </c>
      <c r="C2283" s="5" t="s">
        <v>379</v>
      </c>
      <c r="D2283" s="5" t="s">
        <v>31</v>
      </c>
      <c r="E2283" s="5" t="s">
        <v>362</v>
      </c>
      <c r="F2283" s="5" t="s">
        <v>363</v>
      </c>
      <c r="G2283" s="5" t="s">
        <v>364</v>
      </c>
      <c r="H2283" s="5" t="s">
        <v>365</v>
      </c>
      <c r="I2283" s="5" t="s">
        <v>63</v>
      </c>
      <c r="J2283" s="5">
        <v>15.746143999999999</v>
      </c>
      <c r="K2283" s="5">
        <v>-96.465182999999996</v>
      </c>
      <c r="L2283" s="5" t="str">
        <f>HYPERLINK("https://maps.google.com/?q=15.746144,-96.465182999999996", "🔗 Ver Mapa")</f>
        <v>🔗 Ver Mapa</v>
      </c>
    </row>
    <row r="2284" spans="1:12" ht="43.5" x14ac:dyDescent="0.35">
      <c r="A2284" s="6" t="s">
        <v>359</v>
      </c>
      <c r="B2284" s="6" t="s">
        <v>360</v>
      </c>
      <c r="C2284" s="6" t="s">
        <v>379</v>
      </c>
      <c r="D2284" s="6" t="s">
        <v>31</v>
      </c>
      <c r="E2284" s="6" t="s">
        <v>362</v>
      </c>
      <c r="F2284" s="6" t="s">
        <v>363</v>
      </c>
      <c r="G2284" s="6" t="s">
        <v>364</v>
      </c>
      <c r="H2284" s="6" t="s">
        <v>365</v>
      </c>
      <c r="I2284" s="6" t="s">
        <v>63</v>
      </c>
      <c r="J2284" s="6">
        <v>16.237075999999998</v>
      </c>
      <c r="K2284" s="6">
        <v>-97.292351999999994</v>
      </c>
      <c r="L2284" s="6" t="str">
        <f>HYPERLINK("https://maps.google.com/?q=16.237076,-97.292351999999994", "🔗 Ver Mapa")</f>
        <v>🔗 Ver Mapa</v>
      </c>
    </row>
    <row r="2285" spans="1:12" ht="43.5" x14ac:dyDescent="0.35">
      <c r="A2285" s="5" t="s">
        <v>359</v>
      </c>
      <c r="B2285" s="5" t="s">
        <v>360</v>
      </c>
      <c r="C2285" s="5" t="s">
        <v>379</v>
      </c>
      <c r="D2285" s="5" t="s">
        <v>31</v>
      </c>
      <c r="E2285" s="5" t="s">
        <v>362</v>
      </c>
      <c r="F2285" s="5" t="s">
        <v>363</v>
      </c>
      <c r="G2285" s="5" t="s">
        <v>364</v>
      </c>
      <c r="H2285" s="5" t="s">
        <v>365</v>
      </c>
      <c r="I2285" s="5" t="s">
        <v>63</v>
      </c>
      <c r="J2285" s="5">
        <v>16.279057999999999</v>
      </c>
      <c r="K2285" s="5">
        <v>-97.820240999999996</v>
      </c>
      <c r="L2285" s="5" t="str">
        <f>HYPERLINK("https://maps.google.com/?q=16.279058,-97.820240999999996", "🔗 Ver Mapa")</f>
        <v>🔗 Ver Mapa</v>
      </c>
    </row>
    <row r="2286" spans="1:12" ht="43.5" x14ac:dyDescent="0.35">
      <c r="A2286" s="6" t="s">
        <v>359</v>
      </c>
      <c r="B2286" s="6" t="s">
        <v>360</v>
      </c>
      <c r="C2286" s="6" t="s">
        <v>379</v>
      </c>
      <c r="D2286" s="6" t="s">
        <v>31</v>
      </c>
      <c r="E2286" s="6" t="s">
        <v>362</v>
      </c>
      <c r="F2286" s="6" t="s">
        <v>363</v>
      </c>
      <c r="G2286" s="6" t="s">
        <v>364</v>
      </c>
      <c r="H2286" s="6" t="s">
        <v>365</v>
      </c>
      <c r="I2286" s="6" t="s">
        <v>63</v>
      </c>
      <c r="J2286" s="6">
        <v>16.328751</v>
      </c>
      <c r="K2286" s="6">
        <v>-96.596529000000004</v>
      </c>
      <c r="L2286" s="6" t="str">
        <f>HYPERLINK("https://maps.google.com/?q=16.328751,-96.596529000000004", "🔗 Ver Mapa")</f>
        <v>🔗 Ver Mapa</v>
      </c>
    </row>
    <row r="2287" spans="1:12" ht="43.5" x14ac:dyDescent="0.35">
      <c r="A2287" s="5" t="s">
        <v>359</v>
      </c>
      <c r="B2287" s="5" t="s">
        <v>360</v>
      </c>
      <c r="C2287" s="5" t="s">
        <v>379</v>
      </c>
      <c r="D2287" s="5" t="s">
        <v>31</v>
      </c>
      <c r="E2287" s="5" t="s">
        <v>362</v>
      </c>
      <c r="F2287" s="5" t="s">
        <v>363</v>
      </c>
      <c r="G2287" s="5" t="s">
        <v>364</v>
      </c>
      <c r="H2287" s="5" t="s">
        <v>365</v>
      </c>
      <c r="I2287" s="5" t="s">
        <v>63</v>
      </c>
      <c r="J2287" s="5">
        <v>16.332014000000001</v>
      </c>
      <c r="K2287" s="5">
        <v>-95.231966</v>
      </c>
      <c r="L2287" s="5" t="str">
        <f>HYPERLINK("https://maps.google.com/?q=16.332014,-95.231966", "🔗 Ver Mapa")</f>
        <v>🔗 Ver Mapa</v>
      </c>
    </row>
    <row r="2288" spans="1:12" ht="43.5" x14ac:dyDescent="0.35">
      <c r="A2288" s="6" t="s">
        <v>359</v>
      </c>
      <c r="B2288" s="6" t="s">
        <v>360</v>
      </c>
      <c r="C2288" s="6" t="s">
        <v>379</v>
      </c>
      <c r="D2288" s="6" t="s">
        <v>31</v>
      </c>
      <c r="E2288" s="6" t="s">
        <v>362</v>
      </c>
      <c r="F2288" s="6" t="s">
        <v>363</v>
      </c>
      <c r="G2288" s="6" t="s">
        <v>364</v>
      </c>
      <c r="H2288" s="6" t="s">
        <v>365</v>
      </c>
      <c r="I2288" s="6" t="s">
        <v>63</v>
      </c>
      <c r="J2288" s="6">
        <v>16.433347000000001</v>
      </c>
      <c r="K2288" s="6">
        <v>-95.021687</v>
      </c>
      <c r="L2288" s="6" t="str">
        <f>HYPERLINK("https://maps.google.com/?q=16.433347,-95.021687", "🔗 Ver Mapa")</f>
        <v>🔗 Ver Mapa</v>
      </c>
    </row>
    <row r="2289" spans="1:12" ht="43.5" x14ac:dyDescent="0.35">
      <c r="A2289" s="5" t="s">
        <v>359</v>
      </c>
      <c r="B2289" s="5" t="s">
        <v>360</v>
      </c>
      <c r="C2289" s="5" t="s">
        <v>379</v>
      </c>
      <c r="D2289" s="5" t="s">
        <v>31</v>
      </c>
      <c r="E2289" s="5" t="s">
        <v>362</v>
      </c>
      <c r="F2289" s="5" t="s">
        <v>363</v>
      </c>
      <c r="G2289" s="5" t="s">
        <v>364</v>
      </c>
      <c r="H2289" s="5" t="s">
        <v>365</v>
      </c>
      <c r="I2289" s="5" t="s">
        <v>63</v>
      </c>
      <c r="J2289" s="5">
        <v>16.500512000000001</v>
      </c>
      <c r="K2289" s="5">
        <v>-96.106790000000004</v>
      </c>
      <c r="L2289" s="5" t="str">
        <f>HYPERLINK("https://maps.google.com/?q=16.500512,-96.106790000000004", "🔗 Ver Mapa")</f>
        <v>🔗 Ver Mapa</v>
      </c>
    </row>
    <row r="2290" spans="1:12" ht="43.5" x14ac:dyDescent="0.35">
      <c r="A2290" s="6" t="s">
        <v>359</v>
      </c>
      <c r="B2290" s="6" t="s">
        <v>360</v>
      </c>
      <c r="C2290" s="6" t="s">
        <v>379</v>
      </c>
      <c r="D2290" s="6" t="s">
        <v>31</v>
      </c>
      <c r="E2290" s="6" t="s">
        <v>362</v>
      </c>
      <c r="F2290" s="6" t="s">
        <v>363</v>
      </c>
      <c r="G2290" s="6" t="s">
        <v>364</v>
      </c>
      <c r="H2290" s="6" t="s">
        <v>365</v>
      </c>
      <c r="I2290" s="6" t="s">
        <v>63</v>
      </c>
      <c r="J2290" s="6">
        <v>16.519807</v>
      </c>
      <c r="K2290" s="6">
        <v>-96.983885000000001</v>
      </c>
      <c r="L2290" s="6" t="str">
        <f>HYPERLINK("https://maps.google.com/?q=16.519807,-96.983885000000001", "🔗 Ver Mapa")</f>
        <v>🔗 Ver Mapa</v>
      </c>
    </row>
    <row r="2291" spans="1:12" ht="43.5" x14ac:dyDescent="0.35">
      <c r="A2291" s="5" t="s">
        <v>359</v>
      </c>
      <c r="B2291" s="5" t="s">
        <v>360</v>
      </c>
      <c r="C2291" s="5" t="s">
        <v>379</v>
      </c>
      <c r="D2291" s="5" t="s">
        <v>31</v>
      </c>
      <c r="E2291" s="5" t="s">
        <v>362</v>
      </c>
      <c r="F2291" s="5" t="s">
        <v>363</v>
      </c>
      <c r="G2291" s="5" t="s">
        <v>364</v>
      </c>
      <c r="H2291" s="5" t="s">
        <v>365</v>
      </c>
      <c r="I2291" s="5" t="s">
        <v>63</v>
      </c>
      <c r="J2291" s="5">
        <v>16.564243999999999</v>
      </c>
      <c r="K2291" s="5">
        <v>-96.731829000000005</v>
      </c>
      <c r="L2291" s="5" t="str">
        <f>HYPERLINK("https://maps.google.com/?q=16.564244,-96.731829000000005", "🔗 Ver Mapa")</f>
        <v>🔗 Ver Mapa</v>
      </c>
    </row>
    <row r="2292" spans="1:12" ht="43.5" x14ac:dyDescent="0.35">
      <c r="A2292" s="6" t="s">
        <v>359</v>
      </c>
      <c r="B2292" s="6" t="s">
        <v>360</v>
      </c>
      <c r="C2292" s="6" t="s">
        <v>379</v>
      </c>
      <c r="D2292" s="6" t="s">
        <v>31</v>
      </c>
      <c r="E2292" s="6" t="s">
        <v>362</v>
      </c>
      <c r="F2292" s="6" t="s">
        <v>363</v>
      </c>
      <c r="G2292" s="6" t="s">
        <v>364</v>
      </c>
      <c r="H2292" s="6" t="s">
        <v>365</v>
      </c>
      <c r="I2292" s="6" t="s">
        <v>63</v>
      </c>
      <c r="J2292" s="6">
        <v>16.791625</v>
      </c>
      <c r="K2292" s="6">
        <v>-96.674999</v>
      </c>
      <c r="L2292" s="6" t="str">
        <f>HYPERLINK("https://maps.google.com/?q=16.791625,-96.674999", "🔗 Ver Mapa")</f>
        <v>🔗 Ver Mapa</v>
      </c>
    </row>
    <row r="2293" spans="1:12" ht="43.5" x14ac:dyDescent="0.35">
      <c r="A2293" s="5" t="s">
        <v>359</v>
      </c>
      <c r="B2293" s="5" t="s">
        <v>360</v>
      </c>
      <c r="C2293" s="5" t="s">
        <v>379</v>
      </c>
      <c r="D2293" s="5" t="s">
        <v>31</v>
      </c>
      <c r="E2293" s="5" t="s">
        <v>362</v>
      </c>
      <c r="F2293" s="5" t="s">
        <v>363</v>
      </c>
      <c r="G2293" s="5" t="s">
        <v>364</v>
      </c>
      <c r="H2293" s="5" t="s">
        <v>365</v>
      </c>
      <c r="I2293" s="5" t="s">
        <v>63</v>
      </c>
      <c r="J2293" s="5">
        <v>16.866371000000001</v>
      </c>
      <c r="K2293" s="5">
        <v>-96.785623000000001</v>
      </c>
      <c r="L2293" s="5" t="str">
        <f>HYPERLINK("https://maps.google.com/?q=16.866371,-96.785623000000001", "🔗 Ver Mapa")</f>
        <v>🔗 Ver Mapa</v>
      </c>
    </row>
    <row r="2294" spans="1:12" ht="43.5" x14ac:dyDescent="0.35">
      <c r="A2294" s="6" t="s">
        <v>359</v>
      </c>
      <c r="B2294" s="6" t="s">
        <v>360</v>
      </c>
      <c r="C2294" s="6" t="s">
        <v>379</v>
      </c>
      <c r="D2294" s="6" t="s">
        <v>31</v>
      </c>
      <c r="E2294" s="6" t="s">
        <v>362</v>
      </c>
      <c r="F2294" s="6" t="s">
        <v>363</v>
      </c>
      <c r="G2294" s="6" t="s">
        <v>364</v>
      </c>
      <c r="H2294" s="6" t="s">
        <v>365</v>
      </c>
      <c r="I2294" s="6" t="s">
        <v>63</v>
      </c>
      <c r="J2294" s="6">
        <v>16.950706</v>
      </c>
      <c r="K2294" s="6">
        <v>-96.750504000000006</v>
      </c>
      <c r="L2294" s="6" t="str">
        <f>HYPERLINK("https://maps.google.com/?q=16.950706,-96.750504000000006", "🔗 Ver Mapa")</f>
        <v>🔗 Ver Mapa</v>
      </c>
    </row>
    <row r="2295" spans="1:12" ht="43.5" x14ac:dyDescent="0.35">
      <c r="A2295" s="5" t="s">
        <v>359</v>
      </c>
      <c r="B2295" s="5" t="s">
        <v>360</v>
      </c>
      <c r="C2295" s="5" t="s">
        <v>379</v>
      </c>
      <c r="D2295" s="5" t="s">
        <v>31</v>
      </c>
      <c r="E2295" s="5" t="s">
        <v>362</v>
      </c>
      <c r="F2295" s="5" t="s">
        <v>363</v>
      </c>
      <c r="G2295" s="5" t="s">
        <v>364</v>
      </c>
      <c r="H2295" s="5" t="s">
        <v>365</v>
      </c>
      <c r="I2295" s="5" t="s">
        <v>63</v>
      </c>
      <c r="J2295" s="5">
        <v>16.955580000000001</v>
      </c>
      <c r="K2295" s="5">
        <v>-96.479206000000005</v>
      </c>
      <c r="L2295" s="5" t="str">
        <f>HYPERLINK("https://maps.google.com/?q=16.95558,-96.479206000000005", "🔗 Ver Mapa")</f>
        <v>🔗 Ver Mapa</v>
      </c>
    </row>
    <row r="2296" spans="1:12" ht="43.5" x14ac:dyDescent="0.35">
      <c r="A2296" s="6" t="s">
        <v>359</v>
      </c>
      <c r="B2296" s="6" t="s">
        <v>360</v>
      </c>
      <c r="C2296" s="6" t="s">
        <v>379</v>
      </c>
      <c r="D2296" s="6" t="s">
        <v>31</v>
      </c>
      <c r="E2296" s="6" t="s">
        <v>362</v>
      </c>
      <c r="F2296" s="6" t="s">
        <v>363</v>
      </c>
      <c r="G2296" s="6" t="s">
        <v>364</v>
      </c>
      <c r="H2296" s="6" t="s">
        <v>365</v>
      </c>
      <c r="I2296" s="6" t="s">
        <v>63</v>
      </c>
      <c r="J2296" s="6">
        <v>17.026216000000002</v>
      </c>
      <c r="K2296" s="6">
        <v>-97.928115000000005</v>
      </c>
      <c r="L2296" s="6" t="str">
        <f>HYPERLINK("https://maps.google.com/?q=17.026216,-97.928115000000005", "🔗 Ver Mapa")</f>
        <v>🔗 Ver Mapa</v>
      </c>
    </row>
    <row r="2297" spans="1:12" ht="43.5" x14ac:dyDescent="0.35">
      <c r="A2297" s="5" t="s">
        <v>359</v>
      </c>
      <c r="B2297" s="5" t="s">
        <v>360</v>
      </c>
      <c r="C2297" s="5" t="s">
        <v>379</v>
      </c>
      <c r="D2297" s="5" t="s">
        <v>31</v>
      </c>
      <c r="E2297" s="5" t="s">
        <v>362</v>
      </c>
      <c r="F2297" s="5" t="s">
        <v>363</v>
      </c>
      <c r="G2297" s="5" t="s">
        <v>364</v>
      </c>
      <c r="H2297" s="5" t="s">
        <v>365</v>
      </c>
      <c r="I2297" s="5" t="s">
        <v>63</v>
      </c>
      <c r="J2297" s="5">
        <v>17.027131000000001</v>
      </c>
      <c r="K2297" s="5">
        <v>-96.077044000000001</v>
      </c>
      <c r="L2297" s="5" t="str">
        <f>HYPERLINK("https://maps.google.com/?q=17.027131,-96.077044000000001", "🔗 Ver Mapa")</f>
        <v>🔗 Ver Mapa</v>
      </c>
    </row>
    <row r="2298" spans="1:12" ht="43.5" x14ac:dyDescent="0.35">
      <c r="A2298" s="6" t="s">
        <v>359</v>
      </c>
      <c r="B2298" s="6" t="s">
        <v>360</v>
      </c>
      <c r="C2298" s="6" t="s">
        <v>379</v>
      </c>
      <c r="D2298" s="6" t="s">
        <v>31</v>
      </c>
      <c r="E2298" s="6" t="s">
        <v>362</v>
      </c>
      <c r="F2298" s="6" t="s">
        <v>363</v>
      </c>
      <c r="G2298" s="6" t="s">
        <v>364</v>
      </c>
      <c r="H2298" s="6" t="s">
        <v>365</v>
      </c>
      <c r="I2298" s="6" t="s">
        <v>63</v>
      </c>
      <c r="J2298" s="6">
        <v>17.063777999999999</v>
      </c>
      <c r="K2298" s="6">
        <v>-96.729971000000006</v>
      </c>
      <c r="L2298" s="6" t="str">
        <f>HYPERLINK("https://maps.google.com/?q=17.063778,-96.729971000000006", "🔗 Ver Mapa")</f>
        <v>🔗 Ver Mapa</v>
      </c>
    </row>
    <row r="2299" spans="1:12" ht="43.5" x14ac:dyDescent="0.35">
      <c r="A2299" s="5" t="s">
        <v>359</v>
      </c>
      <c r="B2299" s="5" t="s">
        <v>360</v>
      </c>
      <c r="C2299" s="5" t="s">
        <v>379</v>
      </c>
      <c r="D2299" s="5" t="s">
        <v>31</v>
      </c>
      <c r="E2299" s="5" t="s">
        <v>362</v>
      </c>
      <c r="F2299" s="5" t="s">
        <v>363</v>
      </c>
      <c r="G2299" s="5" t="s">
        <v>364</v>
      </c>
      <c r="H2299" s="5" t="s">
        <v>365</v>
      </c>
      <c r="I2299" s="5" t="s">
        <v>63</v>
      </c>
      <c r="J2299" s="5">
        <v>17.207464000000002</v>
      </c>
      <c r="K2299" s="5">
        <v>-96.801094000000006</v>
      </c>
      <c r="L2299" s="5" t="str">
        <f>HYPERLINK("https://maps.google.com/?q=17.207464,-96.801094000000006", "🔗 Ver Mapa")</f>
        <v>🔗 Ver Mapa</v>
      </c>
    </row>
    <row r="2300" spans="1:12" ht="43.5" x14ac:dyDescent="0.35">
      <c r="A2300" s="6" t="s">
        <v>359</v>
      </c>
      <c r="B2300" s="6" t="s">
        <v>360</v>
      </c>
      <c r="C2300" s="6" t="s">
        <v>379</v>
      </c>
      <c r="D2300" s="6" t="s">
        <v>31</v>
      </c>
      <c r="E2300" s="6" t="s">
        <v>362</v>
      </c>
      <c r="F2300" s="6" t="s">
        <v>363</v>
      </c>
      <c r="G2300" s="6" t="s">
        <v>364</v>
      </c>
      <c r="H2300" s="6" t="s">
        <v>365</v>
      </c>
      <c r="I2300" s="6" t="s">
        <v>63</v>
      </c>
      <c r="J2300" s="6">
        <v>17.267448999999999</v>
      </c>
      <c r="K2300" s="6">
        <v>-97.680485000000004</v>
      </c>
      <c r="L2300" s="6" t="str">
        <f>HYPERLINK("https://maps.google.com/?q=17.267449,-97.680485000000004", "🔗 Ver Mapa")</f>
        <v>🔗 Ver Mapa</v>
      </c>
    </row>
    <row r="2301" spans="1:12" ht="43.5" x14ac:dyDescent="0.35">
      <c r="A2301" s="5" t="s">
        <v>359</v>
      </c>
      <c r="B2301" s="5" t="s">
        <v>360</v>
      </c>
      <c r="C2301" s="5" t="s">
        <v>379</v>
      </c>
      <c r="D2301" s="5" t="s">
        <v>31</v>
      </c>
      <c r="E2301" s="5" t="s">
        <v>362</v>
      </c>
      <c r="F2301" s="5" t="s">
        <v>363</v>
      </c>
      <c r="G2301" s="5" t="s">
        <v>364</v>
      </c>
      <c r="H2301" s="5" t="s">
        <v>365</v>
      </c>
      <c r="I2301" s="5" t="s">
        <v>63</v>
      </c>
      <c r="J2301" s="5">
        <v>17.331247999999999</v>
      </c>
      <c r="K2301" s="5">
        <v>-96.487900999999994</v>
      </c>
      <c r="L2301" s="5" t="str">
        <f>HYPERLINK("https://maps.google.com/?q=17.331248,-96.487900999999994", "🔗 Ver Mapa")</f>
        <v>🔗 Ver Mapa</v>
      </c>
    </row>
    <row r="2302" spans="1:12" ht="43.5" x14ac:dyDescent="0.35">
      <c r="A2302" s="6" t="s">
        <v>359</v>
      </c>
      <c r="B2302" s="6" t="s">
        <v>360</v>
      </c>
      <c r="C2302" s="6" t="s">
        <v>379</v>
      </c>
      <c r="D2302" s="6" t="s">
        <v>31</v>
      </c>
      <c r="E2302" s="6" t="s">
        <v>362</v>
      </c>
      <c r="F2302" s="6" t="s">
        <v>363</v>
      </c>
      <c r="G2302" s="6" t="s">
        <v>364</v>
      </c>
      <c r="H2302" s="6" t="s">
        <v>365</v>
      </c>
      <c r="I2302" s="6" t="s">
        <v>63</v>
      </c>
      <c r="J2302" s="6">
        <v>17.335315999999999</v>
      </c>
      <c r="K2302" s="6">
        <v>-98.012051</v>
      </c>
      <c r="L2302" s="6" t="str">
        <f>HYPERLINK("https://maps.google.com/?q=17.335316,-98.012051", "🔗 Ver Mapa")</f>
        <v>🔗 Ver Mapa</v>
      </c>
    </row>
    <row r="2303" spans="1:12" ht="43.5" x14ac:dyDescent="0.35">
      <c r="A2303" s="5" t="s">
        <v>359</v>
      </c>
      <c r="B2303" s="5" t="s">
        <v>360</v>
      </c>
      <c r="C2303" s="5" t="s">
        <v>379</v>
      </c>
      <c r="D2303" s="5" t="s">
        <v>31</v>
      </c>
      <c r="E2303" s="5" t="s">
        <v>362</v>
      </c>
      <c r="F2303" s="5" t="s">
        <v>363</v>
      </c>
      <c r="G2303" s="5" t="s">
        <v>364</v>
      </c>
      <c r="H2303" s="5" t="s">
        <v>365</v>
      </c>
      <c r="I2303" s="5" t="s">
        <v>63</v>
      </c>
      <c r="J2303" s="5">
        <v>17.338730000000002</v>
      </c>
      <c r="K2303" s="5">
        <v>-96.152553999999995</v>
      </c>
      <c r="L2303" s="5" t="str">
        <f>HYPERLINK("https://maps.google.com/?q=17.33873,-96.152553999999995", "🔗 Ver Mapa")</f>
        <v>🔗 Ver Mapa</v>
      </c>
    </row>
    <row r="2304" spans="1:12" ht="43.5" x14ac:dyDescent="0.35">
      <c r="A2304" s="6" t="s">
        <v>359</v>
      </c>
      <c r="B2304" s="6" t="s">
        <v>360</v>
      </c>
      <c r="C2304" s="6" t="s">
        <v>379</v>
      </c>
      <c r="D2304" s="6" t="s">
        <v>31</v>
      </c>
      <c r="E2304" s="6" t="s">
        <v>362</v>
      </c>
      <c r="F2304" s="6" t="s">
        <v>363</v>
      </c>
      <c r="G2304" s="6" t="s">
        <v>364</v>
      </c>
      <c r="H2304" s="6" t="s">
        <v>365</v>
      </c>
      <c r="I2304" s="6" t="s">
        <v>63</v>
      </c>
      <c r="J2304" s="6">
        <v>17.361765999999999</v>
      </c>
      <c r="K2304" s="6">
        <v>-95.922253999999995</v>
      </c>
      <c r="L2304" s="6" t="str">
        <f>HYPERLINK("https://maps.google.com/?q=17.361766,-95.922253999999995", "🔗 Ver Mapa")</f>
        <v>🔗 Ver Mapa</v>
      </c>
    </row>
    <row r="2305" spans="1:12" ht="43.5" x14ac:dyDescent="0.35">
      <c r="A2305" s="5" t="s">
        <v>359</v>
      </c>
      <c r="B2305" s="5" t="s">
        <v>360</v>
      </c>
      <c r="C2305" s="5" t="s">
        <v>379</v>
      </c>
      <c r="D2305" s="5" t="s">
        <v>31</v>
      </c>
      <c r="E2305" s="5" t="s">
        <v>362</v>
      </c>
      <c r="F2305" s="5" t="s">
        <v>363</v>
      </c>
      <c r="G2305" s="5" t="s">
        <v>364</v>
      </c>
      <c r="H2305" s="5" t="s">
        <v>365</v>
      </c>
      <c r="I2305" s="5" t="s">
        <v>63</v>
      </c>
      <c r="J2305" s="5">
        <v>17.458341000000001</v>
      </c>
      <c r="K2305" s="5">
        <v>-97.225285</v>
      </c>
      <c r="L2305" s="5" t="str">
        <f>HYPERLINK("https://maps.google.com/?q=17.458341,-97.225285", "🔗 Ver Mapa")</f>
        <v>🔗 Ver Mapa</v>
      </c>
    </row>
    <row r="2306" spans="1:12" ht="43.5" x14ac:dyDescent="0.35">
      <c r="A2306" s="6" t="s">
        <v>359</v>
      </c>
      <c r="B2306" s="6" t="s">
        <v>360</v>
      </c>
      <c r="C2306" s="6" t="s">
        <v>379</v>
      </c>
      <c r="D2306" s="6" t="s">
        <v>31</v>
      </c>
      <c r="E2306" s="6" t="s">
        <v>362</v>
      </c>
      <c r="F2306" s="6" t="s">
        <v>363</v>
      </c>
      <c r="G2306" s="6" t="s">
        <v>364</v>
      </c>
      <c r="H2306" s="6" t="s">
        <v>365</v>
      </c>
      <c r="I2306" s="6" t="s">
        <v>63</v>
      </c>
      <c r="J2306" s="6">
        <v>17.501442000000001</v>
      </c>
      <c r="K2306" s="6">
        <v>-98.142583999999999</v>
      </c>
      <c r="L2306" s="6" t="str">
        <f>HYPERLINK("https://maps.google.com/?q=17.501442,-98.142583999999999", "🔗 Ver Mapa")</f>
        <v>🔗 Ver Mapa</v>
      </c>
    </row>
    <row r="2307" spans="1:12" ht="43.5" x14ac:dyDescent="0.35">
      <c r="A2307" s="5" t="s">
        <v>359</v>
      </c>
      <c r="B2307" s="5" t="s">
        <v>360</v>
      </c>
      <c r="C2307" s="5" t="s">
        <v>379</v>
      </c>
      <c r="D2307" s="5" t="s">
        <v>31</v>
      </c>
      <c r="E2307" s="5" t="s">
        <v>362</v>
      </c>
      <c r="F2307" s="5" t="s">
        <v>363</v>
      </c>
      <c r="G2307" s="5" t="s">
        <v>364</v>
      </c>
      <c r="H2307" s="5" t="s">
        <v>365</v>
      </c>
      <c r="I2307" s="5" t="s">
        <v>63</v>
      </c>
      <c r="J2307" s="5">
        <v>17.511838000000001</v>
      </c>
      <c r="K2307" s="5">
        <v>-97.488547999999994</v>
      </c>
      <c r="L2307" s="5" t="str">
        <f>HYPERLINK("https://maps.google.com/?q=17.511838,-97.488547999999994", "🔗 Ver Mapa")</f>
        <v>🔗 Ver Mapa</v>
      </c>
    </row>
    <row r="2308" spans="1:12" ht="43.5" x14ac:dyDescent="0.35">
      <c r="A2308" s="6" t="s">
        <v>359</v>
      </c>
      <c r="B2308" s="6" t="s">
        <v>360</v>
      </c>
      <c r="C2308" s="6" t="s">
        <v>379</v>
      </c>
      <c r="D2308" s="6" t="s">
        <v>31</v>
      </c>
      <c r="E2308" s="6" t="s">
        <v>362</v>
      </c>
      <c r="F2308" s="6" t="s">
        <v>363</v>
      </c>
      <c r="G2308" s="6" t="s">
        <v>364</v>
      </c>
      <c r="H2308" s="6" t="s">
        <v>365</v>
      </c>
      <c r="I2308" s="6" t="s">
        <v>63</v>
      </c>
      <c r="J2308" s="6">
        <v>17.724615</v>
      </c>
      <c r="K2308" s="6">
        <v>-97.323898</v>
      </c>
      <c r="L2308" s="6" t="str">
        <f>HYPERLINK("https://maps.google.com/?q=17.724615,-97.323898", "🔗 Ver Mapa")</f>
        <v>🔗 Ver Mapa</v>
      </c>
    </row>
    <row r="2309" spans="1:12" ht="43.5" x14ac:dyDescent="0.35">
      <c r="A2309" s="5" t="s">
        <v>359</v>
      </c>
      <c r="B2309" s="5" t="s">
        <v>360</v>
      </c>
      <c r="C2309" s="5" t="s">
        <v>379</v>
      </c>
      <c r="D2309" s="5" t="s">
        <v>31</v>
      </c>
      <c r="E2309" s="5" t="s">
        <v>362</v>
      </c>
      <c r="F2309" s="5" t="s">
        <v>363</v>
      </c>
      <c r="G2309" s="5" t="s">
        <v>364</v>
      </c>
      <c r="H2309" s="5" t="s">
        <v>365</v>
      </c>
      <c r="I2309" s="5" t="s">
        <v>63</v>
      </c>
      <c r="J2309" s="5">
        <v>17.801687000000001</v>
      </c>
      <c r="K2309" s="5">
        <v>-96.959688</v>
      </c>
      <c r="L2309" s="5" t="str">
        <f>HYPERLINK("https://maps.google.com/?q=17.801687,-96.959688", "🔗 Ver Mapa")</f>
        <v>🔗 Ver Mapa</v>
      </c>
    </row>
    <row r="2310" spans="1:12" ht="43.5" x14ac:dyDescent="0.35">
      <c r="A2310" s="6" t="s">
        <v>359</v>
      </c>
      <c r="B2310" s="6" t="s">
        <v>360</v>
      </c>
      <c r="C2310" s="6" t="s">
        <v>379</v>
      </c>
      <c r="D2310" s="6" t="s">
        <v>31</v>
      </c>
      <c r="E2310" s="6" t="s">
        <v>362</v>
      </c>
      <c r="F2310" s="6" t="s">
        <v>363</v>
      </c>
      <c r="G2310" s="6" t="s">
        <v>364</v>
      </c>
      <c r="H2310" s="6" t="s">
        <v>365</v>
      </c>
      <c r="I2310" s="6" t="s">
        <v>63</v>
      </c>
      <c r="J2310" s="6">
        <v>17.806621</v>
      </c>
      <c r="K2310" s="6">
        <v>-97.776161999999999</v>
      </c>
      <c r="L2310" s="6" t="str">
        <f>HYPERLINK("https://maps.google.com/?q=17.806621,-97.776161999999999", "🔗 Ver Mapa")</f>
        <v>🔗 Ver Mapa</v>
      </c>
    </row>
    <row r="2311" spans="1:12" ht="43.5" x14ac:dyDescent="0.35">
      <c r="A2311" s="5" t="s">
        <v>359</v>
      </c>
      <c r="B2311" s="5" t="s">
        <v>360</v>
      </c>
      <c r="C2311" s="5" t="s">
        <v>379</v>
      </c>
      <c r="D2311" s="5" t="s">
        <v>31</v>
      </c>
      <c r="E2311" s="5" t="s">
        <v>362</v>
      </c>
      <c r="F2311" s="5" t="s">
        <v>363</v>
      </c>
      <c r="G2311" s="5" t="s">
        <v>364</v>
      </c>
      <c r="H2311" s="5" t="s">
        <v>365</v>
      </c>
      <c r="I2311" s="5" t="s">
        <v>63</v>
      </c>
      <c r="J2311" s="5">
        <v>18.081168999999999</v>
      </c>
      <c r="K2311" s="5">
        <v>-96.118475000000004</v>
      </c>
      <c r="L2311" s="5" t="str">
        <f>HYPERLINK("https://maps.google.com/?q=18.081169,-96.118475000000004", "🔗 Ver Mapa")</f>
        <v>🔗 Ver Mapa</v>
      </c>
    </row>
    <row r="2312" spans="1:12" ht="43.5" x14ac:dyDescent="0.35">
      <c r="A2312" s="6" t="s">
        <v>359</v>
      </c>
      <c r="B2312" s="6" t="s">
        <v>360</v>
      </c>
      <c r="C2312" s="6" t="s">
        <v>379</v>
      </c>
      <c r="D2312" s="6" t="s">
        <v>31</v>
      </c>
      <c r="E2312" s="6" t="s">
        <v>362</v>
      </c>
      <c r="F2312" s="6" t="s">
        <v>363</v>
      </c>
      <c r="G2312" s="6" t="s">
        <v>364</v>
      </c>
      <c r="H2312" s="6" t="s">
        <v>365</v>
      </c>
      <c r="I2312" s="6" t="s">
        <v>63</v>
      </c>
      <c r="J2312" s="6">
        <v>18.13222</v>
      </c>
      <c r="K2312" s="6">
        <v>-97.070751000000001</v>
      </c>
      <c r="L2312" s="6" t="str">
        <f>HYPERLINK("https://maps.google.com/?q=18.13222,-97.070751000000001", "🔗 Ver Mapa")</f>
        <v>🔗 Ver Mapa</v>
      </c>
    </row>
    <row r="2313" spans="1:12" ht="43.5" x14ac:dyDescent="0.35">
      <c r="A2313" s="5" t="s">
        <v>359</v>
      </c>
      <c r="B2313" s="5" t="s">
        <v>360</v>
      </c>
      <c r="C2313" s="5" t="s">
        <v>380</v>
      </c>
      <c r="D2313" s="5" t="s">
        <v>31</v>
      </c>
      <c r="E2313" s="5" t="s">
        <v>362</v>
      </c>
      <c r="F2313" s="5" t="s">
        <v>363</v>
      </c>
      <c r="G2313" s="5" t="s">
        <v>364</v>
      </c>
      <c r="H2313" s="5" t="s">
        <v>365</v>
      </c>
      <c r="I2313" s="5" t="s">
        <v>63</v>
      </c>
      <c r="J2313" s="5">
        <v>15.746143999999999</v>
      </c>
      <c r="K2313" s="5">
        <v>-96.465182999999996</v>
      </c>
      <c r="L2313" s="5" t="str">
        <f>HYPERLINK("https://maps.google.com/?q=15.746144,-96.465182999999996", "🔗 Ver Mapa")</f>
        <v>🔗 Ver Mapa</v>
      </c>
    </row>
    <row r="2314" spans="1:12" ht="43.5" x14ac:dyDescent="0.35">
      <c r="A2314" s="6" t="s">
        <v>359</v>
      </c>
      <c r="B2314" s="6" t="s">
        <v>360</v>
      </c>
      <c r="C2314" s="6" t="s">
        <v>380</v>
      </c>
      <c r="D2314" s="6" t="s">
        <v>31</v>
      </c>
      <c r="E2314" s="6" t="s">
        <v>362</v>
      </c>
      <c r="F2314" s="6" t="s">
        <v>363</v>
      </c>
      <c r="G2314" s="6" t="s">
        <v>364</v>
      </c>
      <c r="H2314" s="6" t="s">
        <v>365</v>
      </c>
      <c r="I2314" s="6" t="s">
        <v>63</v>
      </c>
      <c r="J2314" s="6">
        <v>16.237075999999998</v>
      </c>
      <c r="K2314" s="6">
        <v>-97.292351999999994</v>
      </c>
      <c r="L2314" s="6" t="str">
        <f>HYPERLINK("https://maps.google.com/?q=16.237076,-97.292351999999994", "🔗 Ver Mapa")</f>
        <v>🔗 Ver Mapa</v>
      </c>
    </row>
    <row r="2315" spans="1:12" ht="43.5" x14ac:dyDescent="0.35">
      <c r="A2315" s="5" t="s">
        <v>359</v>
      </c>
      <c r="B2315" s="5" t="s">
        <v>360</v>
      </c>
      <c r="C2315" s="5" t="s">
        <v>380</v>
      </c>
      <c r="D2315" s="5" t="s">
        <v>31</v>
      </c>
      <c r="E2315" s="5" t="s">
        <v>362</v>
      </c>
      <c r="F2315" s="5" t="s">
        <v>363</v>
      </c>
      <c r="G2315" s="5" t="s">
        <v>364</v>
      </c>
      <c r="H2315" s="5" t="s">
        <v>365</v>
      </c>
      <c r="I2315" s="5" t="s">
        <v>63</v>
      </c>
      <c r="J2315" s="5">
        <v>16.279057999999999</v>
      </c>
      <c r="K2315" s="5">
        <v>-97.820240999999996</v>
      </c>
      <c r="L2315" s="5" t="str">
        <f>HYPERLINK("https://maps.google.com/?q=16.279058,-97.820240999999996", "🔗 Ver Mapa")</f>
        <v>🔗 Ver Mapa</v>
      </c>
    </row>
    <row r="2316" spans="1:12" ht="43.5" x14ac:dyDescent="0.35">
      <c r="A2316" s="6" t="s">
        <v>359</v>
      </c>
      <c r="B2316" s="6" t="s">
        <v>360</v>
      </c>
      <c r="C2316" s="6" t="s">
        <v>380</v>
      </c>
      <c r="D2316" s="6" t="s">
        <v>31</v>
      </c>
      <c r="E2316" s="6" t="s">
        <v>362</v>
      </c>
      <c r="F2316" s="6" t="s">
        <v>363</v>
      </c>
      <c r="G2316" s="6" t="s">
        <v>364</v>
      </c>
      <c r="H2316" s="6" t="s">
        <v>365</v>
      </c>
      <c r="I2316" s="6" t="s">
        <v>63</v>
      </c>
      <c r="J2316" s="6">
        <v>16.328751</v>
      </c>
      <c r="K2316" s="6">
        <v>-96.596529000000004</v>
      </c>
      <c r="L2316" s="6" t="str">
        <f>HYPERLINK("https://maps.google.com/?q=16.328751,-96.596529000000004", "🔗 Ver Mapa")</f>
        <v>🔗 Ver Mapa</v>
      </c>
    </row>
    <row r="2317" spans="1:12" ht="43.5" x14ac:dyDescent="0.35">
      <c r="A2317" s="5" t="s">
        <v>359</v>
      </c>
      <c r="B2317" s="5" t="s">
        <v>360</v>
      </c>
      <c r="C2317" s="5" t="s">
        <v>380</v>
      </c>
      <c r="D2317" s="5" t="s">
        <v>31</v>
      </c>
      <c r="E2317" s="5" t="s">
        <v>362</v>
      </c>
      <c r="F2317" s="5" t="s">
        <v>363</v>
      </c>
      <c r="G2317" s="5" t="s">
        <v>364</v>
      </c>
      <c r="H2317" s="5" t="s">
        <v>365</v>
      </c>
      <c r="I2317" s="5" t="s">
        <v>63</v>
      </c>
      <c r="J2317" s="5">
        <v>16.332014000000001</v>
      </c>
      <c r="K2317" s="5">
        <v>-95.231966</v>
      </c>
      <c r="L2317" s="5" t="str">
        <f>HYPERLINK("https://maps.google.com/?q=16.332014,-95.231966", "🔗 Ver Mapa")</f>
        <v>🔗 Ver Mapa</v>
      </c>
    </row>
    <row r="2318" spans="1:12" ht="43.5" x14ac:dyDescent="0.35">
      <c r="A2318" s="6" t="s">
        <v>359</v>
      </c>
      <c r="B2318" s="6" t="s">
        <v>360</v>
      </c>
      <c r="C2318" s="6" t="s">
        <v>380</v>
      </c>
      <c r="D2318" s="6" t="s">
        <v>31</v>
      </c>
      <c r="E2318" s="6" t="s">
        <v>362</v>
      </c>
      <c r="F2318" s="6" t="s">
        <v>363</v>
      </c>
      <c r="G2318" s="6" t="s">
        <v>364</v>
      </c>
      <c r="H2318" s="6" t="s">
        <v>365</v>
      </c>
      <c r="I2318" s="6" t="s">
        <v>63</v>
      </c>
      <c r="J2318" s="6">
        <v>16.433347000000001</v>
      </c>
      <c r="K2318" s="6">
        <v>-95.021687</v>
      </c>
      <c r="L2318" s="6" t="str">
        <f>HYPERLINK("https://maps.google.com/?q=16.433347,-95.021687", "🔗 Ver Mapa")</f>
        <v>🔗 Ver Mapa</v>
      </c>
    </row>
    <row r="2319" spans="1:12" ht="43.5" x14ac:dyDescent="0.35">
      <c r="A2319" s="5" t="s">
        <v>359</v>
      </c>
      <c r="B2319" s="5" t="s">
        <v>360</v>
      </c>
      <c r="C2319" s="5" t="s">
        <v>380</v>
      </c>
      <c r="D2319" s="5" t="s">
        <v>31</v>
      </c>
      <c r="E2319" s="5" t="s">
        <v>362</v>
      </c>
      <c r="F2319" s="5" t="s">
        <v>363</v>
      </c>
      <c r="G2319" s="5" t="s">
        <v>364</v>
      </c>
      <c r="H2319" s="5" t="s">
        <v>365</v>
      </c>
      <c r="I2319" s="5" t="s">
        <v>63</v>
      </c>
      <c r="J2319" s="5">
        <v>16.500512000000001</v>
      </c>
      <c r="K2319" s="5">
        <v>-96.106790000000004</v>
      </c>
      <c r="L2319" s="5" t="str">
        <f>HYPERLINK("https://maps.google.com/?q=16.500512,-96.106790000000004", "🔗 Ver Mapa")</f>
        <v>🔗 Ver Mapa</v>
      </c>
    </row>
    <row r="2320" spans="1:12" ht="43.5" x14ac:dyDescent="0.35">
      <c r="A2320" s="6" t="s">
        <v>359</v>
      </c>
      <c r="B2320" s="6" t="s">
        <v>360</v>
      </c>
      <c r="C2320" s="6" t="s">
        <v>380</v>
      </c>
      <c r="D2320" s="6" t="s">
        <v>31</v>
      </c>
      <c r="E2320" s="6" t="s">
        <v>362</v>
      </c>
      <c r="F2320" s="6" t="s">
        <v>363</v>
      </c>
      <c r="G2320" s="6" t="s">
        <v>364</v>
      </c>
      <c r="H2320" s="6" t="s">
        <v>365</v>
      </c>
      <c r="I2320" s="6" t="s">
        <v>63</v>
      </c>
      <c r="J2320" s="6">
        <v>16.519807</v>
      </c>
      <c r="K2320" s="6">
        <v>-96.983885000000001</v>
      </c>
      <c r="L2320" s="6" t="str">
        <f>HYPERLINK("https://maps.google.com/?q=16.519807,-96.983885000000001", "🔗 Ver Mapa")</f>
        <v>🔗 Ver Mapa</v>
      </c>
    </row>
    <row r="2321" spans="1:12" ht="43.5" x14ac:dyDescent="0.35">
      <c r="A2321" s="5" t="s">
        <v>359</v>
      </c>
      <c r="B2321" s="5" t="s">
        <v>360</v>
      </c>
      <c r="C2321" s="5" t="s">
        <v>380</v>
      </c>
      <c r="D2321" s="5" t="s">
        <v>31</v>
      </c>
      <c r="E2321" s="5" t="s">
        <v>362</v>
      </c>
      <c r="F2321" s="5" t="s">
        <v>363</v>
      </c>
      <c r="G2321" s="5" t="s">
        <v>364</v>
      </c>
      <c r="H2321" s="5" t="s">
        <v>365</v>
      </c>
      <c r="I2321" s="5" t="s">
        <v>63</v>
      </c>
      <c r="J2321" s="5">
        <v>16.564243999999999</v>
      </c>
      <c r="K2321" s="5">
        <v>-96.731829000000005</v>
      </c>
      <c r="L2321" s="5" t="str">
        <f>HYPERLINK("https://maps.google.com/?q=16.564244,-96.731829000000005", "🔗 Ver Mapa")</f>
        <v>🔗 Ver Mapa</v>
      </c>
    </row>
    <row r="2322" spans="1:12" ht="43.5" x14ac:dyDescent="0.35">
      <c r="A2322" s="6" t="s">
        <v>359</v>
      </c>
      <c r="B2322" s="6" t="s">
        <v>360</v>
      </c>
      <c r="C2322" s="6" t="s">
        <v>380</v>
      </c>
      <c r="D2322" s="6" t="s">
        <v>31</v>
      </c>
      <c r="E2322" s="6" t="s">
        <v>362</v>
      </c>
      <c r="F2322" s="6" t="s">
        <v>363</v>
      </c>
      <c r="G2322" s="6" t="s">
        <v>364</v>
      </c>
      <c r="H2322" s="6" t="s">
        <v>365</v>
      </c>
      <c r="I2322" s="6" t="s">
        <v>63</v>
      </c>
      <c r="J2322" s="6">
        <v>16.791625</v>
      </c>
      <c r="K2322" s="6">
        <v>-96.674999</v>
      </c>
      <c r="L2322" s="6" t="str">
        <f>HYPERLINK("https://maps.google.com/?q=16.791625,-96.674999", "🔗 Ver Mapa")</f>
        <v>🔗 Ver Mapa</v>
      </c>
    </row>
    <row r="2323" spans="1:12" ht="43.5" x14ac:dyDescent="0.35">
      <c r="A2323" s="5" t="s">
        <v>359</v>
      </c>
      <c r="B2323" s="5" t="s">
        <v>360</v>
      </c>
      <c r="C2323" s="5" t="s">
        <v>380</v>
      </c>
      <c r="D2323" s="5" t="s">
        <v>31</v>
      </c>
      <c r="E2323" s="5" t="s">
        <v>362</v>
      </c>
      <c r="F2323" s="5" t="s">
        <v>363</v>
      </c>
      <c r="G2323" s="5" t="s">
        <v>364</v>
      </c>
      <c r="H2323" s="5" t="s">
        <v>365</v>
      </c>
      <c r="I2323" s="5" t="s">
        <v>63</v>
      </c>
      <c r="J2323" s="5">
        <v>16.866371000000001</v>
      </c>
      <c r="K2323" s="5">
        <v>-96.785623000000001</v>
      </c>
      <c r="L2323" s="5" t="str">
        <f>HYPERLINK("https://maps.google.com/?q=16.866371,-96.785623000000001", "🔗 Ver Mapa")</f>
        <v>🔗 Ver Mapa</v>
      </c>
    </row>
    <row r="2324" spans="1:12" ht="43.5" x14ac:dyDescent="0.35">
      <c r="A2324" s="6" t="s">
        <v>359</v>
      </c>
      <c r="B2324" s="6" t="s">
        <v>360</v>
      </c>
      <c r="C2324" s="6" t="s">
        <v>380</v>
      </c>
      <c r="D2324" s="6" t="s">
        <v>31</v>
      </c>
      <c r="E2324" s="6" t="s">
        <v>362</v>
      </c>
      <c r="F2324" s="6" t="s">
        <v>363</v>
      </c>
      <c r="G2324" s="6" t="s">
        <v>364</v>
      </c>
      <c r="H2324" s="6" t="s">
        <v>365</v>
      </c>
      <c r="I2324" s="6" t="s">
        <v>63</v>
      </c>
      <c r="J2324" s="6">
        <v>16.950706</v>
      </c>
      <c r="K2324" s="6">
        <v>-96.750504000000006</v>
      </c>
      <c r="L2324" s="6" t="str">
        <f>HYPERLINK("https://maps.google.com/?q=16.950706,-96.750504000000006", "🔗 Ver Mapa")</f>
        <v>🔗 Ver Mapa</v>
      </c>
    </row>
    <row r="2325" spans="1:12" ht="43.5" x14ac:dyDescent="0.35">
      <c r="A2325" s="5" t="s">
        <v>359</v>
      </c>
      <c r="B2325" s="5" t="s">
        <v>360</v>
      </c>
      <c r="C2325" s="5" t="s">
        <v>380</v>
      </c>
      <c r="D2325" s="5" t="s">
        <v>31</v>
      </c>
      <c r="E2325" s="5" t="s">
        <v>362</v>
      </c>
      <c r="F2325" s="5" t="s">
        <v>363</v>
      </c>
      <c r="G2325" s="5" t="s">
        <v>364</v>
      </c>
      <c r="H2325" s="5" t="s">
        <v>365</v>
      </c>
      <c r="I2325" s="5" t="s">
        <v>63</v>
      </c>
      <c r="J2325" s="5">
        <v>16.955580000000001</v>
      </c>
      <c r="K2325" s="5">
        <v>-96.479206000000005</v>
      </c>
      <c r="L2325" s="5" t="str">
        <f>HYPERLINK("https://maps.google.com/?q=16.95558,-96.479206000000005", "🔗 Ver Mapa")</f>
        <v>🔗 Ver Mapa</v>
      </c>
    </row>
    <row r="2326" spans="1:12" ht="43.5" x14ac:dyDescent="0.35">
      <c r="A2326" s="6" t="s">
        <v>359</v>
      </c>
      <c r="B2326" s="6" t="s">
        <v>360</v>
      </c>
      <c r="C2326" s="6" t="s">
        <v>380</v>
      </c>
      <c r="D2326" s="6" t="s">
        <v>31</v>
      </c>
      <c r="E2326" s="6" t="s">
        <v>362</v>
      </c>
      <c r="F2326" s="6" t="s">
        <v>363</v>
      </c>
      <c r="G2326" s="6" t="s">
        <v>364</v>
      </c>
      <c r="H2326" s="6" t="s">
        <v>365</v>
      </c>
      <c r="I2326" s="6" t="s">
        <v>63</v>
      </c>
      <c r="J2326" s="6">
        <v>17.026216000000002</v>
      </c>
      <c r="K2326" s="6">
        <v>-97.928115000000005</v>
      </c>
      <c r="L2326" s="6" t="str">
        <f>HYPERLINK("https://maps.google.com/?q=17.026216,-97.928115000000005", "🔗 Ver Mapa")</f>
        <v>🔗 Ver Mapa</v>
      </c>
    </row>
    <row r="2327" spans="1:12" ht="43.5" x14ac:dyDescent="0.35">
      <c r="A2327" s="5" t="s">
        <v>359</v>
      </c>
      <c r="B2327" s="5" t="s">
        <v>360</v>
      </c>
      <c r="C2327" s="5" t="s">
        <v>380</v>
      </c>
      <c r="D2327" s="5" t="s">
        <v>31</v>
      </c>
      <c r="E2327" s="5" t="s">
        <v>362</v>
      </c>
      <c r="F2327" s="5" t="s">
        <v>363</v>
      </c>
      <c r="G2327" s="5" t="s">
        <v>364</v>
      </c>
      <c r="H2327" s="5" t="s">
        <v>365</v>
      </c>
      <c r="I2327" s="5" t="s">
        <v>63</v>
      </c>
      <c r="J2327" s="5">
        <v>17.027131000000001</v>
      </c>
      <c r="K2327" s="5">
        <v>-96.077044000000001</v>
      </c>
      <c r="L2327" s="5" t="str">
        <f>HYPERLINK("https://maps.google.com/?q=17.027131,-96.077044000000001", "🔗 Ver Mapa")</f>
        <v>🔗 Ver Mapa</v>
      </c>
    </row>
    <row r="2328" spans="1:12" ht="43.5" x14ac:dyDescent="0.35">
      <c r="A2328" s="6" t="s">
        <v>359</v>
      </c>
      <c r="B2328" s="6" t="s">
        <v>360</v>
      </c>
      <c r="C2328" s="6" t="s">
        <v>380</v>
      </c>
      <c r="D2328" s="6" t="s">
        <v>31</v>
      </c>
      <c r="E2328" s="6" t="s">
        <v>362</v>
      </c>
      <c r="F2328" s="6" t="s">
        <v>363</v>
      </c>
      <c r="G2328" s="6" t="s">
        <v>364</v>
      </c>
      <c r="H2328" s="6" t="s">
        <v>365</v>
      </c>
      <c r="I2328" s="6" t="s">
        <v>63</v>
      </c>
      <c r="J2328" s="6">
        <v>17.063777999999999</v>
      </c>
      <c r="K2328" s="6">
        <v>-96.729971000000006</v>
      </c>
      <c r="L2328" s="6" t="str">
        <f>HYPERLINK("https://maps.google.com/?q=17.063778,-96.729971000000006", "🔗 Ver Mapa")</f>
        <v>🔗 Ver Mapa</v>
      </c>
    </row>
    <row r="2329" spans="1:12" ht="43.5" x14ac:dyDescent="0.35">
      <c r="A2329" s="5" t="s">
        <v>359</v>
      </c>
      <c r="B2329" s="5" t="s">
        <v>360</v>
      </c>
      <c r="C2329" s="5" t="s">
        <v>380</v>
      </c>
      <c r="D2329" s="5" t="s">
        <v>31</v>
      </c>
      <c r="E2329" s="5" t="s">
        <v>362</v>
      </c>
      <c r="F2329" s="5" t="s">
        <v>363</v>
      </c>
      <c r="G2329" s="5" t="s">
        <v>364</v>
      </c>
      <c r="H2329" s="5" t="s">
        <v>365</v>
      </c>
      <c r="I2329" s="5" t="s">
        <v>63</v>
      </c>
      <c r="J2329" s="5">
        <v>17.207464000000002</v>
      </c>
      <c r="K2329" s="5">
        <v>-96.801094000000006</v>
      </c>
      <c r="L2329" s="5" t="str">
        <f>HYPERLINK("https://maps.google.com/?q=17.207464,-96.801094000000006", "🔗 Ver Mapa")</f>
        <v>🔗 Ver Mapa</v>
      </c>
    </row>
    <row r="2330" spans="1:12" ht="43.5" x14ac:dyDescent="0.35">
      <c r="A2330" s="6" t="s">
        <v>359</v>
      </c>
      <c r="B2330" s="6" t="s">
        <v>360</v>
      </c>
      <c r="C2330" s="6" t="s">
        <v>380</v>
      </c>
      <c r="D2330" s="6" t="s">
        <v>31</v>
      </c>
      <c r="E2330" s="6" t="s">
        <v>362</v>
      </c>
      <c r="F2330" s="6" t="s">
        <v>363</v>
      </c>
      <c r="G2330" s="6" t="s">
        <v>364</v>
      </c>
      <c r="H2330" s="6" t="s">
        <v>365</v>
      </c>
      <c r="I2330" s="6" t="s">
        <v>63</v>
      </c>
      <c r="J2330" s="6">
        <v>17.267448999999999</v>
      </c>
      <c r="K2330" s="6">
        <v>-97.680485000000004</v>
      </c>
      <c r="L2330" s="6" t="str">
        <f>HYPERLINK("https://maps.google.com/?q=17.267449,-97.680485000000004", "🔗 Ver Mapa")</f>
        <v>🔗 Ver Mapa</v>
      </c>
    </row>
    <row r="2331" spans="1:12" ht="43.5" x14ac:dyDescent="0.35">
      <c r="A2331" s="5" t="s">
        <v>359</v>
      </c>
      <c r="B2331" s="5" t="s">
        <v>360</v>
      </c>
      <c r="C2331" s="5" t="s">
        <v>380</v>
      </c>
      <c r="D2331" s="5" t="s">
        <v>31</v>
      </c>
      <c r="E2331" s="5" t="s">
        <v>362</v>
      </c>
      <c r="F2331" s="5" t="s">
        <v>363</v>
      </c>
      <c r="G2331" s="5" t="s">
        <v>364</v>
      </c>
      <c r="H2331" s="5" t="s">
        <v>365</v>
      </c>
      <c r="I2331" s="5" t="s">
        <v>63</v>
      </c>
      <c r="J2331" s="5">
        <v>17.331247999999999</v>
      </c>
      <c r="K2331" s="5">
        <v>-96.487900999999994</v>
      </c>
      <c r="L2331" s="5" t="str">
        <f>HYPERLINK("https://maps.google.com/?q=17.331248,-96.487900999999994", "🔗 Ver Mapa")</f>
        <v>🔗 Ver Mapa</v>
      </c>
    </row>
    <row r="2332" spans="1:12" ht="43.5" x14ac:dyDescent="0.35">
      <c r="A2332" s="6" t="s">
        <v>359</v>
      </c>
      <c r="B2332" s="6" t="s">
        <v>360</v>
      </c>
      <c r="C2332" s="6" t="s">
        <v>380</v>
      </c>
      <c r="D2332" s="6" t="s">
        <v>31</v>
      </c>
      <c r="E2332" s="6" t="s">
        <v>362</v>
      </c>
      <c r="F2332" s="6" t="s">
        <v>363</v>
      </c>
      <c r="G2332" s="6" t="s">
        <v>364</v>
      </c>
      <c r="H2332" s="6" t="s">
        <v>365</v>
      </c>
      <c r="I2332" s="6" t="s">
        <v>63</v>
      </c>
      <c r="J2332" s="6">
        <v>17.335315999999999</v>
      </c>
      <c r="K2332" s="6">
        <v>-98.012051</v>
      </c>
      <c r="L2332" s="6" t="str">
        <f>HYPERLINK("https://maps.google.com/?q=17.335316,-98.012051", "🔗 Ver Mapa")</f>
        <v>🔗 Ver Mapa</v>
      </c>
    </row>
    <row r="2333" spans="1:12" ht="43.5" x14ac:dyDescent="0.35">
      <c r="A2333" s="5" t="s">
        <v>359</v>
      </c>
      <c r="B2333" s="5" t="s">
        <v>360</v>
      </c>
      <c r="C2333" s="5" t="s">
        <v>380</v>
      </c>
      <c r="D2333" s="5" t="s">
        <v>31</v>
      </c>
      <c r="E2333" s="5" t="s">
        <v>362</v>
      </c>
      <c r="F2333" s="5" t="s">
        <v>363</v>
      </c>
      <c r="G2333" s="5" t="s">
        <v>364</v>
      </c>
      <c r="H2333" s="5" t="s">
        <v>365</v>
      </c>
      <c r="I2333" s="5" t="s">
        <v>63</v>
      </c>
      <c r="J2333" s="5">
        <v>17.338730000000002</v>
      </c>
      <c r="K2333" s="5">
        <v>-96.152553999999995</v>
      </c>
      <c r="L2333" s="5" t="str">
        <f>HYPERLINK("https://maps.google.com/?q=17.33873,-96.152553999999995", "🔗 Ver Mapa")</f>
        <v>🔗 Ver Mapa</v>
      </c>
    </row>
    <row r="2334" spans="1:12" ht="43.5" x14ac:dyDescent="0.35">
      <c r="A2334" s="6" t="s">
        <v>359</v>
      </c>
      <c r="B2334" s="6" t="s">
        <v>360</v>
      </c>
      <c r="C2334" s="6" t="s">
        <v>380</v>
      </c>
      <c r="D2334" s="6" t="s">
        <v>31</v>
      </c>
      <c r="E2334" s="6" t="s">
        <v>362</v>
      </c>
      <c r="F2334" s="6" t="s">
        <v>363</v>
      </c>
      <c r="G2334" s="6" t="s">
        <v>364</v>
      </c>
      <c r="H2334" s="6" t="s">
        <v>365</v>
      </c>
      <c r="I2334" s="6" t="s">
        <v>63</v>
      </c>
      <c r="J2334" s="6">
        <v>17.361765999999999</v>
      </c>
      <c r="K2334" s="6">
        <v>-95.922253999999995</v>
      </c>
      <c r="L2334" s="6" t="str">
        <f>HYPERLINK("https://maps.google.com/?q=17.361766,-95.922253999999995", "🔗 Ver Mapa")</f>
        <v>🔗 Ver Mapa</v>
      </c>
    </row>
    <row r="2335" spans="1:12" ht="43.5" x14ac:dyDescent="0.35">
      <c r="A2335" s="5" t="s">
        <v>359</v>
      </c>
      <c r="B2335" s="5" t="s">
        <v>360</v>
      </c>
      <c r="C2335" s="5" t="s">
        <v>380</v>
      </c>
      <c r="D2335" s="5" t="s">
        <v>31</v>
      </c>
      <c r="E2335" s="5" t="s">
        <v>362</v>
      </c>
      <c r="F2335" s="5" t="s">
        <v>363</v>
      </c>
      <c r="G2335" s="5" t="s">
        <v>364</v>
      </c>
      <c r="H2335" s="5" t="s">
        <v>365</v>
      </c>
      <c r="I2335" s="5" t="s">
        <v>63</v>
      </c>
      <c r="J2335" s="5">
        <v>17.458341000000001</v>
      </c>
      <c r="K2335" s="5">
        <v>-97.225285</v>
      </c>
      <c r="L2335" s="5" t="str">
        <f>HYPERLINK("https://maps.google.com/?q=17.458341,-97.225285", "🔗 Ver Mapa")</f>
        <v>🔗 Ver Mapa</v>
      </c>
    </row>
    <row r="2336" spans="1:12" ht="43.5" x14ac:dyDescent="0.35">
      <c r="A2336" s="6" t="s">
        <v>359</v>
      </c>
      <c r="B2336" s="6" t="s">
        <v>360</v>
      </c>
      <c r="C2336" s="6" t="s">
        <v>380</v>
      </c>
      <c r="D2336" s="6" t="s">
        <v>31</v>
      </c>
      <c r="E2336" s="6" t="s">
        <v>362</v>
      </c>
      <c r="F2336" s="6" t="s">
        <v>363</v>
      </c>
      <c r="G2336" s="6" t="s">
        <v>364</v>
      </c>
      <c r="H2336" s="6" t="s">
        <v>365</v>
      </c>
      <c r="I2336" s="6" t="s">
        <v>63</v>
      </c>
      <c r="J2336" s="6">
        <v>17.501442000000001</v>
      </c>
      <c r="K2336" s="6">
        <v>-98.142583999999999</v>
      </c>
      <c r="L2336" s="6" t="str">
        <f>HYPERLINK("https://maps.google.com/?q=17.501442,-98.142583999999999", "🔗 Ver Mapa")</f>
        <v>🔗 Ver Mapa</v>
      </c>
    </row>
    <row r="2337" spans="1:12" ht="43.5" x14ac:dyDescent="0.35">
      <c r="A2337" s="5" t="s">
        <v>359</v>
      </c>
      <c r="B2337" s="5" t="s">
        <v>360</v>
      </c>
      <c r="C2337" s="5" t="s">
        <v>380</v>
      </c>
      <c r="D2337" s="5" t="s">
        <v>31</v>
      </c>
      <c r="E2337" s="5" t="s">
        <v>362</v>
      </c>
      <c r="F2337" s="5" t="s">
        <v>363</v>
      </c>
      <c r="G2337" s="5" t="s">
        <v>364</v>
      </c>
      <c r="H2337" s="5" t="s">
        <v>365</v>
      </c>
      <c r="I2337" s="5" t="s">
        <v>63</v>
      </c>
      <c r="J2337" s="5">
        <v>17.511838000000001</v>
      </c>
      <c r="K2337" s="5">
        <v>-97.488547999999994</v>
      </c>
      <c r="L2337" s="5" t="str">
        <f>HYPERLINK("https://maps.google.com/?q=17.511838,-97.488547999999994", "🔗 Ver Mapa")</f>
        <v>🔗 Ver Mapa</v>
      </c>
    </row>
    <row r="2338" spans="1:12" ht="43.5" x14ac:dyDescent="0.35">
      <c r="A2338" s="6" t="s">
        <v>359</v>
      </c>
      <c r="B2338" s="6" t="s">
        <v>360</v>
      </c>
      <c r="C2338" s="6" t="s">
        <v>380</v>
      </c>
      <c r="D2338" s="6" t="s">
        <v>31</v>
      </c>
      <c r="E2338" s="6" t="s">
        <v>362</v>
      </c>
      <c r="F2338" s="6" t="s">
        <v>363</v>
      </c>
      <c r="G2338" s="6" t="s">
        <v>364</v>
      </c>
      <c r="H2338" s="6" t="s">
        <v>365</v>
      </c>
      <c r="I2338" s="6" t="s">
        <v>63</v>
      </c>
      <c r="J2338" s="6">
        <v>17.724615</v>
      </c>
      <c r="K2338" s="6">
        <v>-97.323898</v>
      </c>
      <c r="L2338" s="6" t="str">
        <f>HYPERLINK("https://maps.google.com/?q=17.724615,-97.323898", "🔗 Ver Mapa")</f>
        <v>🔗 Ver Mapa</v>
      </c>
    </row>
    <row r="2339" spans="1:12" ht="43.5" x14ac:dyDescent="0.35">
      <c r="A2339" s="5" t="s">
        <v>359</v>
      </c>
      <c r="B2339" s="5" t="s">
        <v>360</v>
      </c>
      <c r="C2339" s="5" t="s">
        <v>380</v>
      </c>
      <c r="D2339" s="5" t="s">
        <v>31</v>
      </c>
      <c r="E2339" s="5" t="s">
        <v>362</v>
      </c>
      <c r="F2339" s="5" t="s">
        <v>363</v>
      </c>
      <c r="G2339" s="5" t="s">
        <v>364</v>
      </c>
      <c r="H2339" s="5" t="s">
        <v>365</v>
      </c>
      <c r="I2339" s="5" t="s">
        <v>63</v>
      </c>
      <c r="J2339" s="5">
        <v>17.801687000000001</v>
      </c>
      <c r="K2339" s="5">
        <v>-96.959688</v>
      </c>
      <c r="L2339" s="5" t="str">
        <f>HYPERLINK("https://maps.google.com/?q=17.801687,-96.959688", "🔗 Ver Mapa")</f>
        <v>🔗 Ver Mapa</v>
      </c>
    </row>
    <row r="2340" spans="1:12" ht="43.5" x14ac:dyDescent="0.35">
      <c r="A2340" s="6" t="s">
        <v>359</v>
      </c>
      <c r="B2340" s="6" t="s">
        <v>360</v>
      </c>
      <c r="C2340" s="6" t="s">
        <v>380</v>
      </c>
      <c r="D2340" s="6" t="s">
        <v>31</v>
      </c>
      <c r="E2340" s="6" t="s">
        <v>362</v>
      </c>
      <c r="F2340" s="6" t="s">
        <v>363</v>
      </c>
      <c r="G2340" s="6" t="s">
        <v>364</v>
      </c>
      <c r="H2340" s="6" t="s">
        <v>365</v>
      </c>
      <c r="I2340" s="6" t="s">
        <v>63</v>
      </c>
      <c r="J2340" s="6">
        <v>17.806621</v>
      </c>
      <c r="K2340" s="6">
        <v>-97.776161999999999</v>
      </c>
      <c r="L2340" s="6" t="str">
        <f>HYPERLINK("https://maps.google.com/?q=17.806621,-97.776161999999999", "🔗 Ver Mapa")</f>
        <v>🔗 Ver Mapa</v>
      </c>
    </row>
    <row r="2341" spans="1:12" ht="43.5" x14ac:dyDescent="0.35">
      <c r="A2341" s="5" t="s">
        <v>359</v>
      </c>
      <c r="B2341" s="5" t="s">
        <v>360</v>
      </c>
      <c r="C2341" s="5" t="s">
        <v>380</v>
      </c>
      <c r="D2341" s="5" t="s">
        <v>31</v>
      </c>
      <c r="E2341" s="5" t="s">
        <v>362</v>
      </c>
      <c r="F2341" s="5" t="s">
        <v>363</v>
      </c>
      <c r="G2341" s="5" t="s">
        <v>364</v>
      </c>
      <c r="H2341" s="5" t="s">
        <v>365</v>
      </c>
      <c r="I2341" s="5" t="s">
        <v>63</v>
      </c>
      <c r="J2341" s="5">
        <v>18.081168999999999</v>
      </c>
      <c r="K2341" s="5">
        <v>-96.118475000000004</v>
      </c>
      <c r="L2341" s="5" t="str">
        <f>HYPERLINK("https://maps.google.com/?q=18.081169,-96.118475000000004", "🔗 Ver Mapa")</f>
        <v>🔗 Ver Mapa</v>
      </c>
    </row>
    <row r="2342" spans="1:12" ht="43.5" x14ac:dyDescent="0.35">
      <c r="A2342" s="6" t="s">
        <v>359</v>
      </c>
      <c r="B2342" s="6" t="s">
        <v>360</v>
      </c>
      <c r="C2342" s="6" t="s">
        <v>380</v>
      </c>
      <c r="D2342" s="6" t="s">
        <v>31</v>
      </c>
      <c r="E2342" s="6" t="s">
        <v>362</v>
      </c>
      <c r="F2342" s="6" t="s">
        <v>363</v>
      </c>
      <c r="G2342" s="6" t="s">
        <v>364</v>
      </c>
      <c r="H2342" s="6" t="s">
        <v>365</v>
      </c>
      <c r="I2342" s="6" t="s">
        <v>63</v>
      </c>
      <c r="J2342" s="6">
        <v>18.13222</v>
      </c>
      <c r="K2342" s="6">
        <v>-97.070751000000001</v>
      </c>
      <c r="L2342" s="6" t="str">
        <f>HYPERLINK("https://maps.google.com/?q=18.13222,-97.070751000000001", "🔗 Ver Mapa")</f>
        <v>🔗 Ver Mapa</v>
      </c>
    </row>
    <row r="2343" spans="1:12" ht="43.5" x14ac:dyDescent="0.35">
      <c r="A2343" s="5" t="s">
        <v>359</v>
      </c>
      <c r="B2343" s="5" t="s">
        <v>360</v>
      </c>
      <c r="C2343" s="5" t="s">
        <v>381</v>
      </c>
      <c r="D2343" s="5" t="s">
        <v>31</v>
      </c>
      <c r="E2343" s="5" t="s">
        <v>37</v>
      </c>
      <c r="F2343" s="5" t="s">
        <v>41</v>
      </c>
      <c r="G2343" s="5" t="s">
        <v>48</v>
      </c>
      <c r="H2343" s="5" t="s">
        <v>55</v>
      </c>
      <c r="I2343" s="5" t="s">
        <v>63</v>
      </c>
      <c r="J2343" s="5">
        <v>17.049529719999999</v>
      </c>
      <c r="K2343" s="5">
        <v>-96.727519439999995</v>
      </c>
      <c r="L2343" s="5" t="str">
        <f>HYPERLINK("https://maps.google.com/?q=17.04952972,-96.72751944", "🔗 Ver Mapa")</f>
        <v>🔗 Ver Mapa</v>
      </c>
    </row>
    <row r="2344" spans="1:12" ht="43.5" x14ac:dyDescent="0.35">
      <c r="A2344" s="6" t="s">
        <v>359</v>
      </c>
      <c r="B2344" s="6" t="s">
        <v>360</v>
      </c>
      <c r="C2344" s="6" t="s">
        <v>382</v>
      </c>
      <c r="D2344" s="6" t="s">
        <v>31</v>
      </c>
      <c r="E2344" s="6" t="s">
        <v>362</v>
      </c>
      <c r="F2344" s="6" t="s">
        <v>363</v>
      </c>
      <c r="G2344" s="6" t="s">
        <v>364</v>
      </c>
      <c r="H2344" s="6" t="s">
        <v>365</v>
      </c>
      <c r="I2344" s="6" t="s">
        <v>63</v>
      </c>
      <c r="J2344" s="6">
        <v>15.746143999999999</v>
      </c>
      <c r="K2344" s="6">
        <v>-96.465182999999996</v>
      </c>
      <c r="L2344" s="6" t="str">
        <f>HYPERLINK("https://maps.google.com/?q=15.746144,-96.465182999999996", "🔗 Ver Mapa")</f>
        <v>🔗 Ver Mapa</v>
      </c>
    </row>
    <row r="2345" spans="1:12" ht="43.5" x14ac:dyDescent="0.35">
      <c r="A2345" s="5" t="s">
        <v>359</v>
      </c>
      <c r="B2345" s="5" t="s">
        <v>360</v>
      </c>
      <c r="C2345" s="5" t="s">
        <v>382</v>
      </c>
      <c r="D2345" s="5" t="s">
        <v>31</v>
      </c>
      <c r="E2345" s="5" t="s">
        <v>362</v>
      </c>
      <c r="F2345" s="5" t="s">
        <v>363</v>
      </c>
      <c r="G2345" s="5" t="s">
        <v>364</v>
      </c>
      <c r="H2345" s="5" t="s">
        <v>365</v>
      </c>
      <c r="I2345" s="5" t="s">
        <v>63</v>
      </c>
      <c r="J2345" s="5">
        <v>16.237075999999998</v>
      </c>
      <c r="K2345" s="5">
        <v>-97.292351999999994</v>
      </c>
      <c r="L2345" s="5" t="str">
        <f>HYPERLINK("https://maps.google.com/?q=16.237076,-97.292351999999994", "🔗 Ver Mapa")</f>
        <v>🔗 Ver Mapa</v>
      </c>
    </row>
    <row r="2346" spans="1:12" ht="43.5" x14ac:dyDescent="0.35">
      <c r="A2346" s="6" t="s">
        <v>359</v>
      </c>
      <c r="B2346" s="6" t="s">
        <v>360</v>
      </c>
      <c r="C2346" s="6" t="s">
        <v>382</v>
      </c>
      <c r="D2346" s="6" t="s">
        <v>31</v>
      </c>
      <c r="E2346" s="6" t="s">
        <v>362</v>
      </c>
      <c r="F2346" s="6" t="s">
        <v>363</v>
      </c>
      <c r="G2346" s="6" t="s">
        <v>364</v>
      </c>
      <c r="H2346" s="6" t="s">
        <v>365</v>
      </c>
      <c r="I2346" s="6" t="s">
        <v>63</v>
      </c>
      <c r="J2346" s="6">
        <v>16.279057999999999</v>
      </c>
      <c r="K2346" s="6">
        <v>-97.820240999999996</v>
      </c>
      <c r="L2346" s="6" t="str">
        <f>HYPERLINK("https://maps.google.com/?q=16.279058,-97.820240999999996", "🔗 Ver Mapa")</f>
        <v>🔗 Ver Mapa</v>
      </c>
    </row>
    <row r="2347" spans="1:12" ht="43.5" x14ac:dyDescent="0.35">
      <c r="A2347" s="5" t="s">
        <v>359</v>
      </c>
      <c r="B2347" s="5" t="s">
        <v>360</v>
      </c>
      <c r="C2347" s="5" t="s">
        <v>382</v>
      </c>
      <c r="D2347" s="5" t="s">
        <v>31</v>
      </c>
      <c r="E2347" s="5" t="s">
        <v>362</v>
      </c>
      <c r="F2347" s="5" t="s">
        <v>363</v>
      </c>
      <c r="G2347" s="5" t="s">
        <v>364</v>
      </c>
      <c r="H2347" s="5" t="s">
        <v>365</v>
      </c>
      <c r="I2347" s="5" t="s">
        <v>63</v>
      </c>
      <c r="J2347" s="5">
        <v>16.328751</v>
      </c>
      <c r="K2347" s="5">
        <v>-96.596529000000004</v>
      </c>
      <c r="L2347" s="5" t="str">
        <f>HYPERLINK("https://maps.google.com/?q=16.328751,-96.596529000000004", "🔗 Ver Mapa")</f>
        <v>🔗 Ver Mapa</v>
      </c>
    </row>
    <row r="2348" spans="1:12" ht="43.5" x14ac:dyDescent="0.35">
      <c r="A2348" s="6" t="s">
        <v>359</v>
      </c>
      <c r="B2348" s="6" t="s">
        <v>360</v>
      </c>
      <c r="C2348" s="6" t="s">
        <v>382</v>
      </c>
      <c r="D2348" s="6" t="s">
        <v>31</v>
      </c>
      <c r="E2348" s="6" t="s">
        <v>362</v>
      </c>
      <c r="F2348" s="6" t="s">
        <v>363</v>
      </c>
      <c r="G2348" s="6" t="s">
        <v>364</v>
      </c>
      <c r="H2348" s="6" t="s">
        <v>365</v>
      </c>
      <c r="I2348" s="6" t="s">
        <v>63</v>
      </c>
      <c r="J2348" s="6">
        <v>16.332014000000001</v>
      </c>
      <c r="K2348" s="6">
        <v>-95.231966</v>
      </c>
      <c r="L2348" s="6" t="str">
        <f>HYPERLINK("https://maps.google.com/?q=16.332014,-95.231966", "🔗 Ver Mapa")</f>
        <v>🔗 Ver Mapa</v>
      </c>
    </row>
    <row r="2349" spans="1:12" ht="43.5" x14ac:dyDescent="0.35">
      <c r="A2349" s="5" t="s">
        <v>359</v>
      </c>
      <c r="B2349" s="5" t="s">
        <v>360</v>
      </c>
      <c r="C2349" s="5" t="s">
        <v>382</v>
      </c>
      <c r="D2349" s="5" t="s">
        <v>31</v>
      </c>
      <c r="E2349" s="5" t="s">
        <v>362</v>
      </c>
      <c r="F2349" s="5" t="s">
        <v>363</v>
      </c>
      <c r="G2349" s="5" t="s">
        <v>364</v>
      </c>
      <c r="H2349" s="5" t="s">
        <v>365</v>
      </c>
      <c r="I2349" s="5" t="s">
        <v>63</v>
      </c>
      <c r="J2349" s="5">
        <v>16.433347000000001</v>
      </c>
      <c r="K2349" s="5">
        <v>-95.021687</v>
      </c>
      <c r="L2349" s="5" t="str">
        <f>HYPERLINK("https://maps.google.com/?q=16.433347,-95.021687", "🔗 Ver Mapa")</f>
        <v>🔗 Ver Mapa</v>
      </c>
    </row>
    <row r="2350" spans="1:12" ht="43.5" x14ac:dyDescent="0.35">
      <c r="A2350" s="6" t="s">
        <v>359</v>
      </c>
      <c r="B2350" s="6" t="s">
        <v>360</v>
      </c>
      <c r="C2350" s="6" t="s">
        <v>382</v>
      </c>
      <c r="D2350" s="6" t="s">
        <v>31</v>
      </c>
      <c r="E2350" s="6" t="s">
        <v>362</v>
      </c>
      <c r="F2350" s="6" t="s">
        <v>363</v>
      </c>
      <c r="G2350" s="6" t="s">
        <v>364</v>
      </c>
      <c r="H2350" s="6" t="s">
        <v>365</v>
      </c>
      <c r="I2350" s="6" t="s">
        <v>63</v>
      </c>
      <c r="J2350" s="6">
        <v>16.500512000000001</v>
      </c>
      <c r="K2350" s="6">
        <v>-96.106790000000004</v>
      </c>
      <c r="L2350" s="6" t="str">
        <f>HYPERLINK("https://maps.google.com/?q=16.500512,-96.106790000000004", "🔗 Ver Mapa")</f>
        <v>🔗 Ver Mapa</v>
      </c>
    </row>
    <row r="2351" spans="1:12" ht="43.5" x14ac:dyDescent="0.35">
      <c r="A2351" s="5" t="s">
        <v>359</v>
      </c>
      <c r="B2351" s="5" t="s">
        <v>360</v>
      </c>
      <c r="C2351" s="5" t="s">
        <v>382</v>
      </c>
      <c r="D2351" s="5" t="s">
        <v>31</v>
      </c>
      <c r="E2351" s="5" t="s">
        <v>362</v>
      </c>
      <c r="F2351" s="5" t="s">
        <v>363</v>
      </c>
      <c r="G2351" s="5" t="s">
        <v>364</v>
      </c>
      <c r="H2351" s="5" t="s">
        <v>365</v>
      </c>
      <c r="I2351" s="5" t="s">
        <v>63</v>
      </c>
      <c r="J2351" s="5">
        <v>16.519807</v>
      </c>
      <c r="K2351" s="5">
        <v>-96.983885000000001</v>
      </c>
      <c r="L2351" s="5" t="str">
        <f>HYPERLINK("https://maps.google.com/?q=16.519807,-96.983885000000001", "🔗 Ver Mapa")</f>
        <v>🔗 Ver Mapa</v>
      </c>
    </row>
    <row r="2352" spans="1:12" ht="43.5" x14ac:dyDescent="0.35">
      <c r="A2352" s="6" t="s">
        <v>359</v>
      </c>
      <c r="B2352" s="6" t="s">
        <v>360</v>
      </c>
      <c r="C2352" s="6" t="s">
        <v>382</v>
      </c>
      <c r="D2352" s="6" t="s">
        <v>31</v>
      </c>
      <c r="E2352" s="6" t="s">
        <v>362</v>
      </c>
      <c r="F2352" s="6" t="s">
        <v>363</v>
      </c>
      <c r="G2352" s="6" t="s">
        <v>364</v>
      </c>
      <c r="H2352" s="6" t="s">
        <v>365</v>
      </c>
      <c r="I2352" s="6" t="s">
        <v>63</v>
      </c>
      <c r="J2352" s="6">
        <v>16.564243999999999</v>
      </c>
      <c r="K2352" s="6">
        <v>-96.731829000000005</v>
      </c>
      <c r="L2352" s="6" t="str">
        <f>HYPERLINK("https://maps.google.com/?q=16.564244,-96.731829000000005", "🔗 Ver Mapa")</f>
        <v>🔗 Ver Mapa</v>
      </c>
    </row>
    <row r="2353" spans="1:12" ht="43.5" x14ac:dyDescent="0.35">
      <c r="A2353" s="5" t="s">
        <v>359</v>
      </c>
      <c r="B2353" s="5" t="s">
        <v>360</v>
      </c>
      <c r="C2353" s="5" t="s">
        <v>382</v>
      </c>
      <c r="D2353" s="5" t="s">
        <v>31</v>
      </c>
      <c r="E2353" s="5" t="s">
        <v>362</v>
      </c>
      <c r="F2353" s="5" t="s">
        <v>363</v>
      </c>
      <c r="G2353" s="5" t="s">
        <v>364</v>
      </c>
      <c r="H2353" s="5" t="s">
        <v>365</v>
      </c>
      <c r="I2353" s="5" t="s">
        <v>63</v>
      </c>
      <c r="J2353" s="5">
        <v>16.791625</v>
      </c>
      <c r="K2353" s="5">
        <v>-96.674999</v>
      </c>
      <c r="L2353" s="5" t="str">
        <f>HYPERLINK("https://maps.google.com/?q=16.791625,-96.674999", "🔗 Ver Mapa")</f>
        <v>🔗 Ver Mapa</v>
      </c>
    </row>
    <row r="2354" spans="1:12" ht="43.5" x14ac:dyDescent="0.35">
      <c r="A2354" s="6" t="s">
        <v>359</v>
      </c>
      <c r="B2354" s="6" t="s">
        <v>360</v>
      </c>
      <c r="C2354" s="6" t="s">
        <v>382</v>
      </c>
      <c r="D2354" s="6" t="s">
        <v>31</v>
      </c>
      <c r="E2354" s="6" t="s">
        <v>362</v>
      </c>
      <c r="F2354" s="6" t="s">
        <v>363</v>
      </c>
      <c r="G2354" s="6" t="s">
        <v>364</v>
      </c>
      <c r="H2354" s="6" t="s">
        <v>365</v>
      </c>
      <c r="I2354" s="6" t="s">
        <v>63</v>
      </c>
      <c r="J2354" s="6">
        <v>16.866371000000001</v>
      </c>
      <c r="K2354" s="6">
        <v>-96.785623000000001</v>
      </c>
      <c r="L2354" s="6" t="str">
        <f>HYPERLINK("https://maps.google.com/?q=16.866371,-96.785623000000001", "🔗 Ver Mapa")</f>
        <v>🔗 Ver Mapa</v>
      </c>
    </row>
    <row r="2355" spans="1:12" ht="43.5" x14ac:dyDescent="0.35">
      <c r="A2355" s="5" t="s">
        <v>359</v>
      </c>
      <c r="B2355" s="5" t="s">
        <v>360</v>
      </c>
      <c r="C2355" s="5" t="s">
        <v>382</v>
      </c>
      <c r="D2355" s="5" t="s">
        <v>31</v>
      </c>
      <c r="E2355" s="5" t="s">
        <v>362</v>
      </c>
      <c r="F2355" s="5" t="s">
        <v>363</v>
      </c>
      <c r="G2355" s="5" t="s">
        <v>364</v>
      </c>
      <c r="H2355" s="5" t="s">
        <v>365</v>
      </c>
      <c r="I2355" s="5" t="s">
        <v>63</v>
      </c>
      <c r="J2355" s="5">
        <v>16.950706</v>
      </c>
      <c r="K2355" s="5">
        <v>-96.750504000000006</v>
      </c>
      <c r="L2355" s="5" t="str">
        <f>HYPERLINK("https://maps.google.com/?q=16.950706,-96.750504000000006", "🔗 Ver Mapa")</f>
        <v>🔗 Ver Mapa</v>
      </c>
    </row>
    <row r="2356" spans="1:12" ht="43.5" x14ac:dyDescent="0.35">
      <c r="A2356" s="6" t="s">
        <v>359</v>
      </c>
      <c r="B2356" s="6" t="s">
        <v>360</v>
      </c>
      <c r="C2356" s="6" t="s">
        <v>382</v>
      </c>
      <c r="D2356" s="6" t="s">
        <v>31</v>
      </c>
      <c r="E2356" s="6" t="s">
        <v>362</v>
      </c>
      <c r="F2356" s="6" t="s">
        <v>363</v>
      </c>
      <c r="G2356" s="6" t="s">
        <v>364</v>
      </c>
      <c r="H2356" s="6" t="s">
        <v>365</v>
      </c>
      <c r="I2356" s="6" t="s">
        <v>63</v>
      </c>
      <c r="J2356" s="6">
        <v>16.955580000000001</v>
      </c>
      <c r="K2356" s="6">
        <v>-96.479206000000005</v>
      </c>
      <c r="L2356" s="6" t="str">
        <f>HYPERLINK("https://maps.google.com/?q=16.95558,-96.479206000000005", "🔗 Ver Mapa")</f>
        <v>🔗 Ver Mapa</v>
      </c>
    </row>
    <row r="2357" spans="1:12" ht="43.5" x14ac:dyDescent="0.35">
      <c r="A2357" s="5" t="s">
        <v>359</v>
      </c>
      <c r="B2357" s="5" t="s">
        <v>360</v>
      </c>
      <c r="C2357" s="5" t="s">
        <v>382</v>
      </c>
      <c r="D2357" s="5" t="s">
        <v>31</v>
      </c>
      <c r="E2357" s="5" t="s">
        <v>362</v>
      </c>
      <c r="F2357" s="5" t="s">
        <v>363</v>
      </c>
      <c r="G2357" s="5" t="s">
        <v>364</v>
      </c>
      <c r="H2357" s="5" t="s">
        <v>365</v>
      </c>
      <c r="I2357" s="5" t="s">
        <v>63</v>
      </c>
      <c r="J2357" s="5">
        <v>17.026216000000002</v>
      </c>
      <c r="K2357" s="5">
        <v>-97.928115000000005</v>
      </c>
      <c r="L2357" s="5" t="str">
        <f>HYPERLINK("https://maps.google.com/?q=17.026216,-97.928115000000005", "🔗 Ver Mapa")</f>
        <v>🔗 Ver Mapa</v>
      </c>
    </row>
    <row r="2358" spans="1:12" ht="43.5" x14ac:dyDescent="0.35">
      <c r="A2358" s="6" t="s">
        <v>359</v>
      </c>
      <c r="B2358" s="6" t="s">
        <v>360</v>
      </c>
      <c r="C2358" s="6" t="s">
        <v>382</v>
      </c>
      <c r="D2358" s="6" t="s">
        <v>31</v>
      </c>
      <c r="E2358" s="6" t="s">
        <v>362</v>
      </c>
      <c r="F2358" s="6" t="s">
        <v>363</v>
      </c>
      <c r="G2358" s="6" t="s">
        <v>364</v>
      </c>
      <c r="H2358" s="6" t="s">
        <v>365</v>
      </c>
      <c r="I2358" s="6" t="s">
        <v>63</v>
      </c>
      <c r="J2358" s="6">
        <v>17.027131000000001</v>
      </c>
      <c r="K2358" s="6">
        <v>-96.077044000000001</v>
      </c>
      <c r="L2358" s="6" t="str">
        <f>HYPERLINK("https://maps.google.com/?q=17.027131,-96.077044000000001", "🔗 Ver Mapa")</f>
        <v>🔗 Ver Mapa</v>
      </c>
    </row>
    <row r="2359" spans="1:12" ht="43.5" x14ac:dyDescent="0.35">
      <c r="A2359" s="5" t="s">
        <v>359</v>
      </c>
      <c r="B2359" s="5" t="s">
        <v>360</v>
      </c>
      <c r="C2359" s="5" t="s">
        <v>382</v>
      </c>
      <c r="D2359" s="5" t="s">
        <v>31</v>
      </c>
      <c r="E2359" s="5" t="s">
        <v>362</v>
      </c>
      <c r="F2359" s="5" t="s">
        <v>363</v>
      </c>
      <c r="G2359" s="5" t="s">
        <v>364</v>
      </c>
      <c r="H2359" s="5" t="s">
        <v>365</v>
      </c>
      <c r="I2359" s="5" t="s">
        <v>63</v>
      </c>
      <c r="J2359" s="5">
        <v>17.063777999999999</v>
      </c>
      <c r="K2359" s="5">
        <v>-96.729971000000006</v>
      </c>
      <c r="L2359" s="5" t="str">
        <f>HYPERLINK("https://maps.google.com/?q=17.063778,-96.729971000000006", "🔗 Ver Mapa")</f>
        <v>🔗 Ver Mapa</v>
      </c>
    </row>
    <row r="2360" spans="1:12" ht="43.5" x14ac:dyDescent="0.35">
      <c r="A2360" s="6" t="s">
        <v>359</v>
      </c>
      <c r="B2360" s="6" t="s">
        <v>360</v>
      </c>
      <c r="C2360" s="6" t="s">
        <v>382</v>
      </c>
      <c r="D2360" s="6" t="s">
        <v>31</v>
      </c>
      <c r="E2360" s="6" t="s">
        <v>362</v>
      </c>
      <c r="F2360" s="6" t="s">
        <v>363</v>
      </c>
      <c r="G2360" s="6" t="s">
        <v>364</v>
      </c>
      <c r="H2360" s="6" t="s">
        <v>365</v>
      </c>
      <c r="I2360" s="6" t="s">
        <v>63</v>
      </c>
      <c r="J2360" s="6">
        <v>17.207464000000002</v>
      </c>
      <c r="K2360" s="6">
        <v>-96.801094000000006</v>
      </c>
      <c r="L2360" s="6" t="str">
        <f>HYPERLINK("https://maps.google.com/?q=17.207464,-96.801094000000006", "🔗 Ver Mapa")</f>
        <v>🔗 Ver Mapa</v>
      </c>
    </row>
    <row r="2361" spans="1:12" ht="43.5" x14ac:dyDescent="0.35">
      <c r="A2361" s="5" t="s">
        <v>359</v>
      </c>
      <c r="B2361" s="5" t="s">
        <v>360</v>
      </c>
      <c r="C2361" s="5" t="s">
        <v>382</v>
      </c>
      <c r="D2361" s="5" t="s">
        <v>31</v>
      </c>
      <c r="E2361" s="5" t="s">
        <v>362</v>
      </c>
      <c r="F2361" s="5" t="s">
        <v>363</v>
      </c>
      <c r="G2361" s="5" t="s">
        <v>364</v>
      </c>
      <c r="H2361" s="5" t="s">
        <v>365</v>
      </c>
      <c r="I2361" s="5" t="s">
        <v>63</v>
      </c>
      <c r="J2361" s="5">
        <v>17.267448999999999</v>
      </c>
      <c r="K2361" s="5">
        <v>-97.680485000000004</v>
      </c>
      <c r="L2361" s="5" t="str">
        <f>HYPERLINK("https://maps.google.com/?q=17.267449,-97.680485000000004", "🔗 Ver Mapa")</f>
        <v>🔗 Ver Mapa</v>
      </c>
    </row>
    <row r="2362" spans="1:12" ht="43.5" x14ac:dyDescent="0.35">
      <c r="A2362" s="6" t="s">
        <v>359</v>
      </c>
      <c r="B2362" s="6" t="s">
        <v>360</v>
      </c>
      <c r="C2362" s="6" t="s">
        <v>382</v>
      </c>
      <c r="D2362" s="6" t="s">
        <v>31</v>
      </c>
      <c r="E2362" s="6" t="s">
        <v>362</v>
      </c>
      <c r="F2362" s="6" t="s">
        <v>363</v>
      </c>
      <c r="G2362" s="6" t="s">
        <v>364</v>
      </c>
      <c r="H2362" s="6" t="s">
        <v>365</v>
      </c>
      <c r="I2362" s="6" t="s">
        <v>63</v>
      </c>
      <c r="J2362" s="6">
        <v>17.331247999999999</v>
      </c>
      <c r="K2362" s="6">
        <v>-96.487900999999994</v>
      </c>
      <c r="L2362" s="6" t="str">
        <f>HYPERLINK("https://maps.google.com/?q=17.331248,-96.487900999999994", "🔗 Ver Mapa")</f>
        <v>🔗 Ver Mapa</v>
      </c>
    </row>
    <row r="2363" spans="1:12" ht="43.5" x14ac:dyDescent="0.35">
      <c r="A2363" s="5" t="s">
        <v>359</v>
      </c>
      <c r="B2363" s="5" t="s">
        <v>360</v>
      </c>
      <c r="C2363" s="5" t="s">
        <v>382</v>
      </c>
      <c r="D2363" s="5" t="s">
        <v>31</v>
      </c>
      <c r="E2363" s="5" t="s">
        <v>362</v>
      </c>
      <c r="F2363" s="5" t="s">
        <v>363</v>
      </c>
      <c r="G2363" s="5" t="s">
        <v>364</v>
      </c>
      <c r="H2363" s="5" t="s">
        <v>365</v>
      </c>
      <c r="I2363" s="5" t="s">
        <v>63</v>
      </c>
      <c r="J2363" s="5">
        <v>17.335315999999999</v>
      </c>
      <c r="K2363" s="5">
        <v>-98.012051</v>
      </c>
      <c r="L2363" s="5" t="str">
        <f>HYPERLINK("https://maps.google.com/?q=17.335316,-98.012051", "🔗 Ver Mapa")</f>
        <v>🔗 Ver Mapa</v>
      </c>
    </row>
    <row r="2364" spans="1:12" ht="43.5" x14ac:dyDescent="0.35">
      <c r="A2364" s="6" t="s">
        <v>359</v>
      </c>
      <c r="B2364" s="6" t="s">
        <v>360</v>
      </c>
      <c r="C2364" s="6" t="s">
        <v>382</v>
      </c>
      <c r="D2364" s="6" t="s">
        <v>31</v>
      </c>
      <c r="E2364" s="6" t="s">
        <v>362</v>
      </c>
      <c r="F2364" s="6" t="s">
        <v>363</v>
      </c>
      <c r="G2364" s="6" t="s">
        <v>364</v>
      </c>
      <c r="H2364" s="6" t="s">
        <v>365</v>
      </c>
      <c r="I2364" s="6" t="s">
        <v>63</v>
      </c>
      <c r="J2364" s="6">
        <v>17.338730000000002</v>
      </c>
      <c r="K2364" s="6">
        <v>-96.152553999999995</v>
      </c>
      <c r="L2364" s="6" t="str">
        <f>HYPERLINK("https://maps.google.com/?q=17.33873,-96.152553999999995", "🔗 Ver Mapa")</f>
        <v>🔗 Ver Mapa</v>
      </c>
    </row>
    <row r="2365" spans="1:12" ht="43.5" x14ac:dyDescent="0.35">
      <c r="A2365" s="5" t="s">
        <v>359</v>
      </c>
      <c r="B2365" s="5" t="s">
        <v>360</v>
      </c>
      <c r="C2365" s="5" t="s">
        <v>382</v>
      </c>
      <c r="D2365" s="5" t="s">
        <v>31</v>
      </c>
      <c r="E2365" s="5" t="s">
        <v>362</v>
      </c>
      <c r="F2365" s="5" t="s">
        <v>363</v>
      </c>
      <c r="G2365" s="5" t="s">
        <v>364</v>
      </c>
      <c r="H2365" s="5" t="s">
        <v>365</v>
      </c>
      <c r="I2365" s="5" t="s">
        <v>63</v>
      </c>
      <c r="J2365" s="5">
        <v>17.361765999999999</v>
      </c>
      <c r="K2365" s="5">
        <v>-95.922253999999995</v>
      </c>
      <c r="L2365" s="5" t="str">
        <f>HYPERLINK("https://maps.google.com/?q=17.361766,-95.922253999999995", "🔗 Ver Mapa")</f>
        <v>🔗 Ver Mapa</v>
      </c>
    </row>
    <row r="2366" spans="1:12" ht="43.5" x14ac:dyDescent="0.35">
      <c r="A2366" s="6" t="s">
        <v>359</v>
      </c>
      <c r="B2366" s="6" t="s">
        <v>360</v>
      </c>
      <c r="C2366" s="6" t="s">
        <v>382</v>
      </c>
      <c r="D2366" s="6" t="s">
        <v>31</v>
      </c>
      <c r="E2366" s="6" t="s">
        <v>362</v>
      </c>
      <c r="F2366" s="6" t="s">
        <v>363</v>
      </c>
      <c r="G2366" s="6" t="s">
        <v>364</v>
      </c>
      <c r="H2366" s="6" t="s">
        <v>365</v>
      </c>
      <c r="I2366" s="6" t="s">
        <v>63</v>
      </c>
      <c r="J2366" s="6">
        <v>17.458341000000001</v>
      </c>
      <c r="K2366" s="6">
        <v>-97.225285</v>
      </c>
      <c r="L2366" s="6" t="str">
        <f>HYPERLINK("https://maps.google.com/?q=17.458341,-97.225285", "🔗 Ver Mapa")</f>
        <v>🔗 Ver Mapa</v>
      </c>
    </row>
    <row r="2367" spans="1:12" ht="43.5" x14ac:dyDescent="0.35">
      <c r="A2367" s="5" t="s">
        <v>359</v>
      </c>
      <c r="B2367" s="5" t="s">
        <v>360</v>
      </c>
      <c r="C2367" s="5" t="s">
        <v>382</v>
      </c>
      <c r="D2367" s="5" t="s">
        <v>31</v>
      </c>
      <c r="E2367" s="5" t="s">
        <v>362</v>
      </c>
      <c r="F2367" s="5" t="s">
        <v>363</v>
      </c>
      <c r="G2367" s="5" t="s">
        <v>364</v>
      </c>
      <c r="H2367" s="5" t="s">
        <v>365</v>
      </c>
      <c r="I2367" s="5" t="s">
        <v>63</v>
      </c>
      <c r="J2367" s="5">
        <v>17.501442000000001</v>
      </c>
      <c r="K2367" s="5">
        <v>-98.142583999999999</v>
      </c>
      <c r="L2367" s="5" t="str">
        <f>HYPERLINK("https://maps.google.com/?q=17.501442,-98.142583999999999", "🔗 Ver Mapa")</f>
        <v>🔗 Ver Mapa</v>
      </c>
    </row>
    <row r="2368" spans="1:12" ht="43.5" x14ac:dyDescent="0.35">
      <c r="A2368" s="6" t="s">
        <v>359</v>
      </c>
      <c r="B2368" s="6" t="s">
        <v>360</v>
      </c>
      <c r="C2368" s="6" t="s">
        <v>382</v>
      </c>
      <c r="D2368" s="6" t="s">
        <v>31</v>
      </c>
      <c r="E2368" s="6" t="s">
        <v>362</v>
      </c>
      <c r="F2368" s="6" t="s">
        <v>363</v>
      </c>
      <c r="G2368" s="6" t="s">
        <v>364</v>
      </c>
      <c r="H2368" s="6" t="s">
        <v>365</v>
      </c>
      <c r="I2368" s="6" t="s">
        <v>63</v>
      </c>
      <c r="J2368" s="6">
        <v>17.511838000000001</v>
      </c>
      <c r="K2368" s="6">
        <v>-97.488547999999994</v>
      </c>
      <c r="L2368" s="6" t="str">
        <f>HYPERLINK("https://maps.google.com/?q=17.511838,-97.488547999999994", "🔗 Ver Mapa")</f>
        <v>🔗 Ver Mapa</v>
      </c>
    </row>
    <row r="2369" spans="1:12" ht="43.5" x14ac:dyDescent="0.35">
      <c r="A2369" s="5" t="s">
        <v>359</v>
      </c>
      <c r="B2369" s="5" t="s">
        <v>360</v>
      </c>
      <c r="C2369" s="5" t="s">
        <v>382</v>
      </c>
      <c r="D2369" s="5" t="s">
        <v>31</v>
      </c>
      <c r="E2369" s="5" t="s">
        <v>362</v>
      </c>
      <c r="F2369" s="5" t="s">
        <v>363</v>
      </c>
      <c r="G2369" s="5" t="s">
        <v>364</v>
      </c>
      <c r="H2369" s="5" t="s">
        <v>365</v>
      </c>
      <c r="I2369" s="5" t="s">
        <v>63</v>
      </c>
      <c r="J2369" s="5">
        <v>17.724615</v>
      </c>
      <c r="K2369" s="5">
        <v>-97.323898</v>
      </c>
      <c r="L2369" s="5" t="str">
        <f>HYPERLINK("https://maps.google.com/?q=17.724615,-97.323898", "🔗 Ver Mapa")</f>
        <v>🔗 Ver Mapa</v>
      </c>
    </row>
    <row r="2370" spans="1:12" ht="43.5" x14ac:dyDescent="0.35">
      <c r="A2370" s="6" t="s">
        <v>359</v>
      </c>
      <c r="B2370" s="6" t="s">
        <v>360</v>
      </c>
      <c r="C2370" s="6" t="s">
        <v>382</v>
      </c>
      <c r="D2370" s="6" t="s">
        <v>31</v>
      </c>
      <c r="E2370" s="6" t="s">
        <v>362</v>
      </c>
      <c r="F2370" s="6" t="s">
        <v>363</v>
      </c>
      <c r="G2370" s="6" t="s">
        <v>364</v>
      </c>
      <c r="H2370" s="6" t="s">
        <v>365</v>
      </c>
      <c r="I2370" s="6" t="s">
        <v>63</v>
      </c>
      <c r="J2370" s="6">
        <v>17.801687000000001</v>
      </c>
      <c r="K2370" s="6">
        <v>-96.959688</v>
      </c>
      <c r="L2370" s="6" t="str">
        <f>HYPERLINK("https://maps.google.com/?q=17.801687,-96.959688", "🔗 Ver Mapa")</f>
        <v>🔗 Ver Mapa</v>
      </c>
    </row>
    <row r="2371" spans="1:12" ht="43.5" x14ac:dyDescent="0.35">
      <c r="A2371" s="5" t="s">
        <v>359</v>
      </c>
      <c r="B2371" s="5" t="s">
        <v>360</v>
      </c>
      <c r="C2371" s="5" t="s">
        <v>382</v>
      </c>
      <c r="D2371" s="5" t="s">
        <v>31</v>
      </c>
      <c r="E2371" s="5" t="s">
        <v>362</v>
      </c>
      <c r="F2371" s="5" t="s">
        <v>363</v>
      </c>
      <c r="G2371" s="5" t="s">
        <v>364</v>
      </c>
      <c r="H2371" s="5" t="s">
        <v>365</v>
      </c>
      <c r="I2371" s="5" t="s">
        <v>63</v>
      </c>
      <c r="J2371" s="5">
        <v>17.806621</v>
      </c>
      <c r="K2371" s="5">
        <v>-97.776161999999999</v>
      </c>
      <c r="L2371" s="5" t="str">
        <f>HYPERLINK("https://maps.google.com/?q=17.806621,-97.776161999999999", "🔗 Ver Mapa")</f>
        <v>🔗 Ver Mapa</v>
      </c>
    </row>
    <row r="2372" spans="1:12" ht="43.5" x14ac:dyDescent="0.35">
      <c r="A2372" s="6" t="s">
        <v>359</v>
      </c>
      <c r="B2372" s="6" t="s">
        <v>360</v>
      </c>
      <c r="C2372" s="6" t="s">
        <v>382</v>
      </c>
      <c r="D2372" s="6" t="s">
        <v>31</v>
      </c>
      <c r="E2372" s="6" t="s">
        <v>362</v>
      </c>
      <c r="F2372" s="6" t="s">
        <v>363</v>
      </c>
      <c r="G2372" s="6" t="s">
        <v>364</v>
      </c>
      <c r="H2372" s="6" t="s">
        <v>365</v>
      </c>
      <c r="I2372" s="6" t="s">
        <v>63</v>
      </c>
      <c r="J2372" s="6">
        <v>18.081168999999999</v>
      </c>
      <c r="K2372" s="6">
        <v>-96.118475000000004</v>
      </c>
      <c r="L2372" s="6" t="str">
        <f>HYPERLINK("https://maps.google.com/?q=18.081169,-96.118475000000004", "🔗 Ver Mapa")</f>
        <v>🔗 Ver Mapa</v>
      </c>
    </row>
    <row r="2373" spans="1:12" ht="43.5" x14ac:dyDescent="0.35">
      <c r="A2373" s="5" t="s">
        <v>359</v>
      </c>
      <c r="B2373" s="5" t="s">
        <v>360</v>
      </c>
      <c r="C2373" s="5" t="s">
        <v>382</v>
      </c>
      <c r="D2373" s="5" t="s">
        <v>31</v>
      </c>
      <c r="E2373" s="5" t="s">
        <v>362</v>
      </c>
      <c r="F2373" s="5" t="s">
        <v>363</v>
      </c>
      <c r="G2373" s="5" t="s">
        <v>364</v>
      </c>
      <c r="H2373" s="5" t="s">
        <v>365</v>
      </c>
      <c r="I2373" s="5" t="s">
        <v>63</v>
      </c>
      <c r="J2373" s="5">
        <v>18.13222</v>
      </c>
      <c r="K2373" s="5">
        <v>-97.070751000000001</v>
      </c>
      <c r="L2373" s="5" t="str">
        <f>HYPERLINK("https://maps.google.com/?q=18.13222,-97.070751000000001", "🔗 Ver Mapa")</f>
        <v>🔗 Ver Mapa</v>
      </c>
    </row>
    <row r="2374" spans="1:12" ht="43.5" x14ac:dyDescent="0.35">
      <c r="A2374" s="6" t="s">
        <v>206</v>
      </c>
      <c r="B2374" s="6" t="s">
        <v>207</v>
      </c>
      <c r="C2374" s="6" t="s">
        <v>383</v>
      </c>
      <c r="D2374" s="6" t="s">
        <v>251</v>
      </c>
      <c r="E2374" s="6" t="s">
        <v>37</v>
      </c>
      <c r="F2374" s="6" t="s">
        <v>384</v>
      </c>
      <c r="G2374" s="6" t="s">
        <v>385</v>
      </c>
      <c r="H2374" s="6" t="s">
        <v>386</v>
      </c>
      <c r="I2374" s="6" t="s">
        <v>213</v>
      </c>
      <c r="J2374" s="6">
        <v>16.379600075879999</v>
      </c>
      <c r="K2374" s="6">
        <v>-96.843569005728995</v>
      </c>
      <c r="L2374" s="6" t="str">
        <f>HYPERLINK("https://maps.google.com/?q=16.379600075880276,-96.843569005729151", "🔗 Ver Mapa")</f>
        <v>🔗 Ver Mapa</v>
      </c>
    </row>
    <row r="2375" spans="1:12" ht="43.5" x14ac:dyDescent="0.35">
      <c r="A2375" s="5" t="s">
        <v>206</v>
      </c>
      <c r="B2375" s="5" t="s">
        <v>207</v>
      </c>
      <c r="C2375" s="5" t="s">
        <v>383</v>
      </c>
      <c r="D2375" s="5" t="s">
        <v>251</v>
      </c>
      <c r="E2375" s="5" t="s">
        <v>37</v>
      </c>
      <c r="F2375" s="5" t="s">
        <v>384</v>
      </c>
      <c r="G2375" s="5" t="s">
        <v>385</v>
      </c>
      <c r="H2375" s="5" t="s">
        <v>386</v>
      </c>
      <c r="I2375" s="5" t="s">
        <v>213</v>
      </c>
      <c r="J2375" s="5">
        <v>16.379842642518</v>
      </c>
      <c r="K2375" s="5">
        <v>-96.844018911060004</v>
      </c>
      <c r="L2375" s="5" t="str">
        <f>HYPERLINK("https://maps.google.com/?q=16.379842642518007,-96.844018911059848", "🔗 Ver Mapa")</f>
        <v>🔗 Ver Mapa</v>
      </c>
    </row>
    <row r="2376" spans="1:12" ht="43.5" x14ac:dyDescent="0.35">
      <c r="A2376" s="6" t="s">
        <v>206</v>
      </c>
      <c r="B2376" s="6" t="s">
        <v>207</v>
      </c>
      <c r="C2376" s="6" t="s">
        <v>383</v>
      </c>
      <c r="D2376" s="6" t="s">
        <v>251</v>
      </c>
      <c r="E2376" s="6" t="s">
        <v>37</v>
      </c>
      <c r="F2376" s="6" t="s">
        <v>384</v>
      </c>
      <c r="G2376" s="6" t="s">
        <v>385</v>
      </c>
      <c r="H2376" s="6" t="s">
        <v>386</v>
      </c>
      <c r="I2376" s="6" t="s">
        <v>213</v>
      </c>
      <c r="J2376" s="6">
        <v>16.380052335416</v>
      </c>
      <c r="K2376" s="6">
        <v>-96.844418978291998</v>
      </c>
      <c r="L2376" s="6" t="str">
        <f>HYPERLINK("https://maps.google.com/?q=16.380052335415996,-96.844418978292438", "🔗 Ver Mapa")</f>
        <v>🔗 Ver Mapa</v>
      </c>
    </row>
    <row r="2377" spans="1:12" ht="43.5" x14ac:dyDescent="0.35">
      <c r="A2377" s="5" t="s">
        <v>206</v>
      </c>
      <c r="B2377" s="5" t="s">
        <v>207</v>
      </c>
      <c r="C2377" s="5" t="s">
        <v>383</v>
      </c>
      <c r="D2377" s="5" t="s">
        <v>251</v>
      </c>
      <c r="E2377" s="5" t="s">
        <v>37</v>
      </c>
      <c r="F2377" s="5" t="s">
        <v>384</v>
      </c>
      <c r="G2377" s="5" t="s">
        <v>385</v>
      </c>
      <c r="H2377" s="5" t="s">
        <v>386</v>
      </c>
      <c r="I2377" s="5" t="s">
        <v>213</v>
      </c>
      <c r="J2377" s="5">
        <v>16.380257909026</v>
      </c>
      <c r="K2377" s="5">
        <v>-96.844820926061999</v>
      </c>
      <c r="L2377" s="5" t="str">
        <f>HYPERLINK("https://maps.google.com/?q=16.380257909026312,-96.844820926061672", "🔗 Ver Mapa")</f>
        <v>🔗 Ver Mapa</v>
      </c>
    </row>
    <row r="2378" spans="1:12" ht="43.5" x14ac:dyDescent="0.35">
      <c r="A2378" s="6" t="s">
        <v>206</v>
      </c>
      <c r="B2378" s="6" t="s">
        <v>207</v>
      </c>
      <c r="C2378" s="6" t="s">
        <v>383</v>
      </c>
      <c r="D2378" s="6" t="s">
        <v>251</v>
      </c>
      <c r="E2378" s="6" t="s">
        <v>37</v>
      </c>
      <c r="F2378" s="6" t="s">
        <v>384</v>
      </c>
      <c r="G2378" s="6" t="s">
        <v>385</v>
      </c>
      <c r="H2378" s="6" t="s">
        <v>386</v>
      </c>
      <c r="I2378" s="6" t="s">
        <v>213</v>
      </c>
      <c r="J2378" s="6">
        <v>16.380583052106999</v>
      </c>
      <c r="K2378" s="6">
        <v>-96.845339809601001</v>
      </c>
      <c r="L2378" s="6" t="str">
        <f>HYPERLINK("https://maps.google.com/?q=16.38058305210676,-96.845339809600731", "🔗 Ver Mapa")</f>
        <v>🔗 Ver Mapa</v>
      </c>
    </row>
    <row r="2379" spans="1:12" ht="43.5" x14ac:dyDescent="0.35">
      <c r="A2379" s="5" t="s">
        <v>206</v>
      </c>
      <c r="B2379" s="5" t="s">
        <v>207</v>
      </c>
      <c r="C2379" s="5" t="s">
        <v>383</v>
      </c>
      <c r="D2379" s="5" t="s">
        <v>251</v>
      </c>
      <c r="E2379" s="5" t="s">
        <v>37</v>
      </c>
      <c r="F2379" s="5" t="s">
        <v>384</v>
      </c>
      <c r="G2379" s="5" t="s">
        <v>385</v>
      </c>
      <c r="H2379" s="5" t="s">
        <v>386</v>
      </c>
      <c r="I2379" s="5" t="s">
        <v>213</v>
      </c>
      <c r="J2379" s="5">
        <v>16.380597934897001</v>
      </c>
      <c r="K2379" s="5">
        <v>-96.846813573104001</v>
      </c>
      <c r="L2379" s="5" t="str">
        <f>HYPERLINK("https://maps.google.com/?q=16.380597934896926,-96.846813573103958", "🔗 Ver Mapa")</f>
        <v>🔗 Ver Mapa</v>
      </c>
    </row>
    <row r="2380" spans="1:12" ht="43.5" x14ac:dyDescent="0.35">
      <c r="A2380" s="6" t="s">
        <v>206</v>
      </c>
      <c r="B2380" s="6" t="s">
        <v>207</v>
      </c>
      <c r="C2380" s="6" t="s">
        <v>383</v>
      </c>
      <c r="D2380" s="6" t="s">
        <v>251</v>
      </c>
      <c r="E2380" s="6" t="s">
        <v>37</v>
      </c>
      <c r="F2380" s="6" t="s">
        <v>384</v>
      </c>
      <c r="G2380" s="6" t="s">
        <v>385</v>
      </c>
      <c r="H2380" s="6" t="s">
        <v>386</v>
      </c>
      <c r="I2380" s="6" t="s">
        <v>213</v>
      </c>
      <c r="J2380" s="6">
        <v>16.380680986024</v>
      </c>
      <c r="K2380" s="6">
        <v>-96.846215649358996</v>
      </c>
      <c r="L2380" s="6" t="str">
        <f>HYPERLINK("https://maps.google.com/?q=16.380680986023528,-96.846215649358882", "🔗 Ver Mapa")</f>
        <v>🔗 Ver Mapa</v>
      </c>
    </row>
    <row r="2381" spans="1:12" ht="43.5" x14ac:dyDescent="0.35">
      <c r="A2381" s="5" t="s">
        <v>206</v>
      </c>
      <c r="B2381" s="5" t="s">
        <v>207</v>
      </c>
      <c r="C2381" s="5" t="s">
        <v>383</v>
      </c>
      <c r="D2381" s="5" t="s">
        <v>251</v>
      </c>
      <c r="E2381" s="5" t="s">
        <v>37</v>
      </c>
      <c r="F2381" s="5" t="s">
        <v>384</v>
      </c>
      <c r="G2381" s="5" t="s">
        <v>385</v>
      </c>
      <c r="H2381" s="5" t="s">
        <v>386</v>
      </c>
      <c r="I2381" s="5" t="s">
        <v>213</v>
      </c>
      <c r="J2381" s="5">
        <v>16.380687723385002</v>
      </c>
      <c r="K2381" s="5">
        <v>-96.847308962675001</v>
      </c>
      <c r="L2381" s="5" t="str">
        <f>HYPERLINK("https://maps.google.com/?q=16.380687723385407,-96.847308962674973", "🔗 Ver Mapa")</f>
        <v>🔗 Ver Mapa</v>
      </c>
    </row>
    <row r="2382" spans="1:12" ht="43.5" x14ac:dyDescent="0.35">
      <c r="A2382" s="6" t="s">
        <v>206</v>
      </c>
      <c r="B2382" s="6" t="s">
        <v>207</v>
      </c>
      <c r="C2382" s="6" t="s">
        <v>383</v>
      </c>
      <c r="D2382" s="6" t="s">
        <v>251</v>
      </c>
      <c r="E2382" s="6" t="s">
        <v>37</v>
      </c>
      <c r="F2382" s="6" t="s">
        <v>384</v>
      </c>
      <c r="G2382" s="6" t="s">
        <v>385</v>
      </c>
      <c r="H2382" s="6" t="s">
        <v>386</v>
      </c>
      <c r="I2382" s="6" t="s">
        <v>213</v>
      </c>
      <c r="J2382" s="6">
        <v>16.380732941405</v>
      </c>
      <c r="K2382" s="6">
        <v>-96.845777729294994</v>
      </c>
      <c r="L2382" s="6" t="str">
        <f>HYPERLINK("https://maps.google.com/?q=16.380732941404762,-96.845777729294539", "🔗 Ver Mapa")</f>
        <v>🔗 Ver Mapa</v>
      </c>
    </row>
    <row r="2383" spans="1:12" ht="43.5" x14ac:dyDescent="0.35">
      <c r="A2383" s="5" t="s">
        <v>206</v>
      </c>
      <c r="B2383" s="5" t="s">
        <v>207</v>
      </c>
      <c r="C2383" s="5" t="s">
        <v>383</v>
      </c>
      <c r="D2383" s="5" t="s">
        <v>251</v>
      </c>
      <c r="E2383" s="5" t="s">
        <v>37</v>
      </c>
      <c r="F2383" s="5" t="s">
        <v>384</v>
      </c>
      <c r="G2383" s="5" t="s">
        <v>385</v>
      </c>
      <c r="H2383" s="5" t="s">
        <v>386</v>
      </c>
      <c r="I2383" s="5" t="s">
        <v>213</v>
      </c>
      <c r="J2383" s="5">
        <v>16.380774031847</v>
      </c>
      <c r="K2383" s="5">
        <v>-96.847683431594007</v>
      </c>
      <c r="L2383" s="5" t="str">
        <f>HYPERLINK("https://maps.google.com/?q=16.380774031846798,-96.847683431593836", "🔗 Ver Mapa")</f>
        <v>🔗 Ver Mapa</v>
      </c>
    </row>
    <row r="2384" spans="1:12" ht="43.5" x14ac:dyDescent="0.35">
      <c r="A2384" s="6" t="s">
        <v>206</v>
      </c>
      <c r="B2384" s="6" t="s">
        <v>207</v>
      </c>
      <c r="C2384" s="6" t="s">
        <v>383</v>
      </c>
      <c r="D2384" s="6" t="s">
        <v>251</v>
      </c>
      <c r="E2384" s="6" t="s">
        <v>37</v>
      </c>
      <c r="F2384" s="6" t="s">
        <v>384</v>
      </c>
      <c r="G2384" s="6" t="s">
        <v>385</v>
      </c>
      <c r="H2384" s="6" t="s">
        <v>386</v>
      </c>
      <c r="I2384" s="6" t="s">
        <v>213</v>
      </c>
      <c r="J2384" s="6">
        <v>16.380848125486999</v>
      </c>
      <c r="K2384" s="6">
        <v>-96.847666563540997</v>
      </c>
      <c r="L2384" s="6" t="str">
        <f>HYPERLINK("https://maps.google.com/?q=16.380848125486956,-96.847666563541196", "🔗 Ver Mapa")</f>
        <v>🔗 Ver Mapa</v>
      </c>
    </row>
    <row r="2385" spans="1:12" ht="43.5" x14ac:dyDescent="0.35">
      <c r="A2385" s="5" t="s">
        <v>206</v>
      </c>
      <c r="B2385" s="5" t="s">
        <v>207</v>
      </c>
      <c r="C2385" s="5" t="s">
        <v>383</v>
      </c>
      <c r="D2385" s="5" t="s">
        <v>251</v>
      </c>
      <c r="E2385" s="5" t="s">
        <v>37</v>
      </c>
      <c r="F2385" s="5" t="s">
        <v>384</v>
      </c>
      <c r="G2385" s="5" t="s">
        <v>385</v>
      </c>
      <c r="H2385" s="5" t="s">
        <v>386</v>
      </c>
      <c r="I2385" s="5" t="s">
        <v>213</v>
      </c>
      <c r="J2385" s="5">
        <v>16.381078204184998</v>
      </c>
      <c r="K2385" s="5">
        <v>-96.847158161194997</v>
      </c>
      <c r="L2385" s="5" t="str">
        <f>HYPERLINK("https://maps.google.com/?q=16.38107820418514,-96.84715816119548", "🔗 Ver Mapa")</f>
        <v>🔗 Ver Mapa</v>
      </c>
    </row>
    <row r="2386" spans="1:12" ht="43.5" x14ac:dyDescent="0.35">
      <c r="A2386" s="6" t="s">
        <v>206</v>
      </c>
      <c r="B2386" s="6" t="s">
        <v>207</v>
      </c>
      <c r="C2386" s="6" t="s">
        <v>383</v>
      </c>
      <c r="D2386" s="6" t="s">
        <v>251</v>
      </c>
      <c r="E2386" s="6" t="s">
        <v>37</v>
      </c>
      <c r="F2386" s="6" t="s">
        <v>384</v>
      </c>
      <c r="G2386" s="6" t="s">
        <v>385</v>
      </c>
      <c r="H2386" s="6" t="s">
        <v>386</v>
      </c>
      <c r="I2386" s="6" t="s">
        <v>213</v>
      </c>
      <c r="J2386" s="6">
        <v>16.381350899609</v>
      </c>
      <c r="K2386" s="6">
        <v>-96.846721390582999</v>
      </c>
      <c r="L2386" s="6" t="str">
        <f>HYPERLINK("https://maps.google.com/?q=16.381350899608865,-96.846721390582516", "🔗 Ver Mapa")</f>
        <v>🔗 Ver Mapa</v>
      </c>
    </row>
    <row r="2387" spans="1:12" ht="43.5" x14ac:dyDescent="0.35">
      <c r="A2387" s="5" t="s">
        <v>206</v>
      </c>
      <c r="B2387" s="5" t="s">
        <v>207</v>
      </c>
      <c r="C2387" s="5" t="s">
        <v>383</v>
      </c>
      <c r="D2387" s="5" t="s">
        <v>251</v>
      </c>
      <c r="E2387" s="5" t="s">
        <v>37</v>
      </c>
      <c r="F2387" s="5" t="s">
        <v>384</v>
      </c>
      <c r="G2387" s="5" t="s">
        <v>385</v>
      </c>
      <c r="H2387" s="5" t="s">
        <v>386</v>
      </c>
      <c r="I2387" s="5" t="s">
        <v>213</v>
      </c>
      <c r="J2387" s="5">
        <v>16.381612918156002</v>
      </c>
      <c r="K2387" s="5">
        <v>-96.846295517583997</v>
      </c>
      <c r="L2387" s="5" t="str">
        <f>HYPERLINK("https://maps.google.com/?q=16.38161291815595,-96.846295517583684", "🔗 Ver Mapa")</f>
        <v>🔗 Ver Mapa</v>
      </c>
    </row>
    <row r="2388" spans="1:12" ht="43.5" x14ac:dyDescent="0.35">
      <c r="A2388" s="6" t="s">
        <v>206</v>
      </c>
      <c r="B2388" s="6" t="s">
        <v>207</v>
      </c>
      <c r="C2388" s="6" t="s">
        <v>383</v>
      </c>
      <c r="D2388" s="6" t="s">
        <v>251</v>
      </c>
      <c r="E2388" s="6" t="s">
        <v>37</v>
      </c>
      <c r="F2388" s="6" t="s">
        <v>384</v>
      </c>
      <c r="G2388" s="6" t="s">
        <v>385</v>
      </c>
      <c r="H2388" s="6" t="s">
        <v>386</v>
      </c>
      <c r="I2388" s="6" t="s">
        <v>213</v>
      </c>
      <c r="J2388" s="6">
        <v>16.381881776865999</v>
      </c>
      <c r="K2388" s="6">
        <v>-96.845849540236998</v>
      </c>
      <c r="L2388" s="6" t="str">
        <f>HYPERLINK("https://maps.google.com/?q=16.381881776866233,-96.84584954023731", "🔗 Ver Mapa")</f>
        <v>🔗 Ver Mapa</v>
      </c>
    </row>
    <row r="2389" spans="1:12" ht="43.5" x14ac:dyDescent="0.35">
      <c r="A2389" s="5" t="s">
        <v>206</v>
      </c>
      <c r="B2389" s="5" t="s">
        <v>207</v>
      </c>
      <c r="C2389" s="5" t="s">
        <v>383</v>
      </c>
      <c r="D2389" s="5" t="s">
        <v>251</v>
      </c>
      <c r="E2389" s="5" t="s">
        <v>37</v>
      </c>
      <c r="F2389" s="5" t="s">
        <v>384</v>
      </c>
      <c r="G2389" s="5" t="s">
        <v>385</v>
      </c>
      <c r="H2389" s="5" t="s">
        <v>386</v>
      </c>
      <c r="I2389" s="5" t="s">
        <v>213</v>
      </c>
      <c r="J2389" s="5">
        <v>16.382131875862999</v>
      </c>
      <c r="K2389" s="5">
        <v>-96.841573601299999</v>
      </c>
      <c r="L2389" s="5" t="str">
        <f>HYPERLINK("https://maps.google.com/?q=16.38213187586292,-96.841573601299643", "🔗 Ver Mapa")</f>
        <v>🔗 Ver Mapa</v>
      </c>
    </row>
    <row r="2390" spans="1:12" ht="43.5" x14ac:dyDescent="0.35">
      <c r="A2390" s="6" t="s">
        <v>206</v>
      </c>
      <c r="B2390" s="6" t="s">
        <v>207</v>
      </c>
      <c r="C2390" s="6" t="s">
        <v>383</v>
      </c>
      <c r="D2390" s="6" t="s">
        <v>251</v>
      </c>
      <c r="E2390" s="6" t="s">
        <v>37</v>
      </c>
      <c r="F2390" s="6" t="s">
        <v>384</v>
      </c>
      <c r="G2390" s="6" t="s">
        <v>385</v>
      </c>
      <c r="H2390" s="6" t="s">
        <v>386</v>
      </c>
      <c r="I2390" s="6" t="s">
        <v>213</v>
      </c>
      <c r="J2390" s="6">
        <v>16.382203689571</v>
      </c>
      <c r="K2390" s="6">
        <v>-96.845478870156995</v>
      </c>
      <c r="L2390" s="6" t="str">
        <f>HYPERLINK("https://maps.google.com/?q=16.3822036895707,-96.845478870156754", "🔗 Ver Mapa")</f>
        <v>🔗 Ver Mapa</v>
      </c>
    </row>
    <row r="2391" spans="1:12" ht="43.5" x14ac:dyDescent="0.35">
      <c r="A2391" s="5" t="s">
        <v>206</v>
      </c>
      <c r="B2391" s="5" t="s">
        <v>207</v>
      </c>
      <c r="C2391" s="5" t="s">
        <v>383</v>
      </c>
      <c r="D2391" s="5" t="s">
        <v>251</v>
      </c>
      <c r="E2391" s="5" t="s">
        <v>37</v>
      </c>
      <c r="F2391" s="5" t="s">
        <v>384</v>
      </c>
      <c r="G2391" s="5" t="s">
        <v>385</v>
      </c>
      <c r="H2391" s="5" t="s">
        <v>386</v>
      </c>
      <c r="I2391" s="5" t="s">
        <v>213</v>
      </c>
      <c r="J2391" s="5">
        <v>16.38227711255</v>
      </c>
      <c r="K2391" s="5">
        <v>-96.841831141106994</v>
      </c>
      <c r="L2391" s="5" t="str">
        <f>HYPERLINK("https://maps.google.com/?q=16.382277112549726,-96.841831141107406", "🔗 Ver Mapa")</f>
        <v>🔗 Ver Mapa</v>
      </c>
    </row>
    <row r="2392" spans="1:12" ht="43.5" x14ac:dyDescent="0.35">
      <c r="A2392" s="6" t="s">
        <v>206</v>
      </c>
      <c r="B2392" s="6" t="s">
        <v>207</v>
      </c>
      <c r="C2392" s="6" t="s">
        <v>383</v>
      </c>
      <c r="D2392" s="6" t="s">
        <v>251</v>
      </c>
      <c r="E2392" s="6" t="s">
        <v>37</v>
      </c>
      <c r="F2392" s="6" t="s">
        <v>384</v>
      </c>
      <c r="G2392" s="6" t="s">
        <v>385</v>
      </c>
      <c r="H2392" s="6" t="s">
        <v>386</v>
      </c>
      <c r="I2392" s="6" t="s">
        <v>213</v>
      </c>
      <c r="J2392" s="6">
        <v>16.382407629831999</v>
      </c>
      <c r="K2392" s="6">
        <v>-96.844039085765004</v>
      </c>
      <c r="L2392" s="6" t="str">
        <f>HYPERLINK("https://maps.google.com/?q=16.382407629832112,-96.844039085764933", "🔗 Ver Mapa")</f>
        <v>🔗 Ver Mapa</v>
      </c>
    </row>
    <row r="2393" spans="1:12" ht="43.5" x14ac:dyDescent="0.35">
      <c r="A2393" s="5" t="s">
        <v>206</v>
      </c>
      <c r="B2393" s="5" t="s">
        <v>207</v>
      </c>
      <c r="C2393" s="5" t="s">
        <v>383</v>
      </c>
      <c r="D2393" s="5" t="s">
        <v>251</v>
      </c>
      <c r="E2393" s="5" t="s">
        <v>37</v>
      </c>
      <c r="F2393" s="5" t="s">
        <v>384</v>
      </c>
      <c r="G2393" s="5" t="s">
        <v>385</v>
      </c>
      <c r="H2393" s="5" t="s">
        <v>386</v>
      </c>
      <c r="I2393" s="5" t="s">
        <v>213</v>
      </c>
      <c r="J2393" s="5">
        <v>16.382443599790001</v>
      </c>
      <c r="K2393" s="5">
        <v>-96.841885396058004</v>
      </c>
      <c r="L2393" s="5" t="str">
        <f>HYPERLINK("https://maps.google.com/?q=16.382443599789596,-96.841885396057535", "🔗 Ver Mapa")</f>
        <v>🔗 Ver Mapa</v>
      </c>
    </row>
    <row r="2394" spans="1:12" ht="43.5" x14ac:dyDescent="0.35">
      <c r="A2394" s="6" t="s">
        <v>206</v>
      </c>
      <c r="B2394" s="6" t="s">
        <v>207</v>
      </c>
      <c r="C2394" s="6" t="s">
        <v>383</v>
      </c>
      <c r="D2394" s="6" t="s">
        <v>251</v>
      </c>
      <c r="E2394" s="6" t="s">
        <v>37</v>
      </c>
      <c r="F2394" s="6" t="s">
        <v>384</v>
      </c>
      <c r="G2394" s="6" t="s">
        <v>385</v>
      </c>
      <c r="H2394" s="6" t="s">
        <v>386</v>
      </c>
      <c r="I2394" s="6" t="s">
        <v>213</v>
      </c>
      <c r="J2394" s="6">
        <v>16.382556687874001</v>
      </c>
      <c r="K2394" s="6">
        <v>-96.845206781219005</v>
      </c>
      <c r="L2394" s="6" t="str">
        <f>HYPERLINK("https://maps.google.com/?q=16.382556687873954,-96.845206781219034", "🔗 Ver Mapa")</f>
        <v>🔗 Ver Mapa</v>
      </c>
    </row>
    <row r="2395" spans="1:12" ht="43.5" x14ac:dyDescent="0.35">
      <c r="A2395" s="5" t="s">
        <v>206</v>
      </c>
      <c r="B2395" s="5" t="s">
        <v>207</v>
      </c>
      <c r="C2395" s="5" t="s">
        <v>383</v>
      </c>
      <c r="D2395" s="5" t="s">
        <v>251</v>
      </c>
      <c r="E2395" s="5" t="s">
        <v>37</v>
      </c>
      <c r="F2395" s="5" t="s">
        <v>384</v>
      </c>
      <c r="G2395" s="5" t="s">
        <v>385</v>
      </c>
      <c r="H2395" s="5" t="s">
        <v>386</v>
      </c>
      <c r="I2395" s="5" t="s">
        <v>213</v>
      </c>
      <c r="J2395" s="5">
        <v>16.382610747897001</v>
      </c>
      <c r="K2395" s="5">
        <v>-96.836261586201005</v>
      </c>
      <c r="L2395" s="5" t="str">
        <f>HYPERLINK("https://maps.google.com/?q=16.38261074789726,-96.836261586201175", "🔗 Ver Mapa")</f>
        <v>🔗 Ver Mapa</v>
      </c>
    </row>
    <row r="2396" spans="1:12" ht="43.5" x14ac:dyDescent="0.35">
      <c r="A2396" s="6" t="s">
        <v>206</v>
      </c>
      <c r="B2396" s="6" t="s">
        <v>207</v>
      </c>
      <c r="C2396" s="6" t="s">
        <v>383</v>
      </c>
      <c r="D2396" s="6" t="s">
        <v>251</v>
      </c>
      <c r="E2396" s="6" t="s">
        <v>37</v>
      </c>
      <c r="F2396" s="6" t="s">
        <v>384</v>
      </c>
      <c r="G2396" s="6" t="s">
        <v>385</v>
      </c>
      <c r="H2396" s="6" t="s">
        <v>386</v>
      </c>
      <c r="I2396" s="6" t="s">
        <v>213</v>
      </c>
      <c r="J2396" s="6">
        <v>16.382763033993001</v>
      </c>
      <c r="K2396" s="6">
        <v>-96.843821895014997</v>
      </c>
      <c r="L2396" s="6" t="str">
        <f>HYPERLINK("https://maps.google.com/?q=16.382763033993125,-96.843821895015168", "🔗 Ver Mapa")</f>
        <v>🔗 Ver Mapa</v>
      </c>
    </row>
    <row r="2397" spans="1:12" ht="43.5" x14ac:dyDescent="0.35">
      <c r="A2397" s="5" t="s">
        <v>206</v>
      </c>
      <c r="B2397" s="5" t="s">
        <v>207</v>
      </c>
      <c r="C2397" s="5" t="s">
        <v>383</v>
      </c>
      <c r="D2397" s="5" t="s">
        <v>251</v>
      </c>
      <c r="E2397" s="5" t="s">
        <v>37</v>
      </c>
      <c r="F2397" s="5" t="s">
        <v>384</v>
      </c>
      <c r="G2397" s="5" t="s">
        <v>385</v>
      </c>
      <c r="H2397" s="5" t="s">
        <v>386</v>
      </c>
      <c r="I2397" s="5" t="s">
        <v>213</v>
      </c>
      <c r="J2397" s="5">
        <v>16.382765306631999</v>
      </c>
      <c r="K2397" s="5">
        <v>-96.845004748853</v>
      </c>
      <c r="L2397" s="5" t="str">
        <f>HYPERLINK("https://maps.google.com/?q=16.382765306632262,-96.845004748852702", "🔗 Ver Mapa")</f>
        <v>🔗 Ver Mapa</v>
      </c>
    </row>
    <row r="2398" spans="1:12" ht="43.5" x14ac:dyDescent="0.35">
      <c r="A2398" s="6" t="s">
        <v>206</v>
      </c>
      <c r="B2398" s="6" t="s">
        <v>207</v>
      </c>
      <c r="C2398" s="6" t="s">
        <v>383</v>
      </c>
      <c r="D2398" s="6" t="s">
        <v>251</v>
      </c>
      <c r="E2398" s="6" t="s">
        <v>37</v>
      </c>
      <c r="F2398" s="6" t="s">
        <v>384</v>
      </c>
      <c r="G2398" s="6" t="s">
        <v>385</v>
      </c>
      <c r="H2398" s="6" t="s">
        <v>386</v>
      </c>
      <c r="I2398" s="6" t="s">
        <v>213</v>
      </c>
      <c r="J2398" s="6">
        <v>16.382830737963999</v>
      </c>
      <c r="K2398" s="6">
        <v>-96.836713834475006</v>
      </c>
      <c r="L2398" s="6" t="str">
        <f>HYPERLINK("https://maps.google.com/?q=16.382830737964497,-96.83671383447512", "🔗 Ver Mapa")</f>
        <v>🔗 Ver Mapa</v>
      </c>
    </row>
    <row r="2399" spans="1:12" ht="43.5" x14ac:dyDescent="0.35">
      <c r="A2399" s="5" t="s">
        <v>206</v>
      </c>
      <c r="B2399" s="5" t="s">
        <v>207</v>
      </c>
      <c r="C2399" s="5" t="s">
        <v>383</v>
      </c>
      <c r="D2399" s="5" t="s">
        <v>251</v>
      </c>
      <c r="E2399" s="5" t="s">
        <v>37</v>
      </c>
      <c r="F2399" s="5" t="s">
        <v>384</v>
      </c>
      <c r="G2399" s="5" t="s">
        <v>385</v>
      </c>
      <c r="H2399" s="5" t="s">
        <v>386</v>
      </c>
      <c r="I2399" s="5" t="s">
        <v>213</v>
      </c>
      <c r="J2399" s="5">
        <v>16.382906160209998</v>
      </c>
      <c r="K2399" s="5">
        <v>-96.836896894282006</v>
      </c>
      <c r="L2399" s="5" t="str">
        <f>HYPERLINK("https://maps.google.com/?q=16.38290616020965,-96.836896894281679", "🔗 Ver Mapa")</f>
        <v>🔗 Ver Mapa</v>
      </c>
    </row>
    <row r="2400" spans="1:12" ht="43.5" x14ac:dyDescent="0.35">
      <c r="A2400" s="6" t="s">
        <v>206</v>
      </c>
      <c r="B2400" s="6" t="s">
        <v>207</v>
      </c>
      <c r="C2400" s="6" t="s">
        <v>383</v>
      </c>
      <c r="D2400" s="6" t="s">
        <v>251</v>
      </c>
      <c r="E2400" s="6" t="s">
        <v>37</v>
      </c>
      <c r="F2400" s="6" t="s">
        <v>384</v>
      </c>
      <c r="G2400" s="6" t="s">
        <v>385</v>
      </c>
      <c r="H2400" s="6" t="s">
        <v>386</v>
      </c>
      <c r="I2400" s="6" t="s">
        <v>213</v>
      </c>
      <c r="J2400" s="6">
        <v>16.382916758960999</v>
      </c>
      <c r="K2400" s="6">
        <v>-96.843741036823999</v>
      </c>
      <c r="L2400" s="6" t="str">
        <f>HYPERLINK("https://maps.google.com/?q=16.38291675896061,-96.843741036824142", "🔗 Ver Mapa")</f>
        <v>🔗 Ver Mapa</v>
      </c>
    </row>
    <row r="2401" spans="1:12" ht="43.5" x14ac:dyDescent="0.35">
      <c r="A2401" s="5" t="s">
        <v>206</v>
      </c>
      <c r="B2401" s="5" t="s">
        <v>207</v>
      </c>
      <c r="C2401" s="5" t="s">
        <v>383</v>
      </c>
      <c r="D2401" s="5" t="s">
        <v>251</v>
      </c>
      <c r="E2401" s="5" t="s">
        <v>37</v>
      </c>
      <c r="F2401" s="5" t="s">
        <v>384</v>
      </c>
      <c r="G2401" s="5" t="s">
        <v>385</v>
      </c>
      <c r="H2401" s="5" t="s">
        <v>386</v>
      </c>
      <c r="I2401" s="5" t="s">
        <v>213</v>
      </c>
      <c r="J2401" s="5">
        <v>16.382938123251002</v>
      </c>
      <c r="K2401" s="5">
        <v>-96.836834865355002</v>
      </c>
      <c r="L2401" s="5" t="str">
        <f>HYPERLINK("https://maps.google.com/?q=16.382938123250838,-96.836834865355485", "🔗 Ver Mapa")</f>
        <v>🔗 Ver Mapa</v>
      </c>
    </row>
    <row r="2402" spans="1:12" ht="43.5" x14ac:dyDescent="0.35">
      <c r="A2402" s="6" t="s">
        <v>206</v>
      </c>
      <c r="B2402" s="6" t="s">
        <v>207</v>
      </c>
      <c r="C2402" s="6" t="s">
        <v>383</v>
      </c>
      <c r="D2402" s="6" t="s">
        <v>251</v>
      </c>
      <c r="E2402" s="6" t="s">
        <v>37</v>
      </c>
      <c r="F2402" s="6" t="s">
        <v>384</v>
      </c>
      <c r="G2402" s="6" t="s">
        <v>385</v>
      </c>
      <c r="H2402" s="6" t="s">
        <v>386</v>
      </c>
      <c r="I2402" s="6" t="s">
        <v>213</v>
      </c>
      <c r="J2402" s="6">
        <v>16.383003464672001</v>
      </c>
      <c r="K2402" s="6">
        <v>-96.841809292215004</v>
      </c>
      <c r="L2402" s="6" t="str">
        <f>HYPERLINK("https://maps.google.com/?q=16.383003464671667,-96.841809292215487", "🔗 Ver Mapa")</f>
        <v>🔗 Ver Mapa</v>
      </c>
    </row>
    <row r="2403" spans="1:12" ht="43.5" x14ac:dyDescent="0.35">
      <c r="A2403" s="5" t="s">
        <v>206</v>
      </c>
      <c r="B2403" s="5" t="s">
        <v>207</v>
      </c>
      <c r="C2403" s="5" t="s">
        <v>383</v>
      </c>
      <c r="D2403" s="5" t="s">
        <v>251</v>
      </c>
      <c r="E2403" s="5" t="s">
        <v>37</v>
      </c>
      <c r="F2403" s="5" t="s">
        <v>384</v>
      </c>
      <c r="G2403" s="5" t="s">
        <v>385</v>
      </c>
      <c r="H2403" s="5" t="s">
        <v>386</v>
      </c>
      <c r="I2403" s="5" t="s">
        <v>213</v>
      </c>
      <c r="J2403" s="5">
        <v>16.383008179520999</v>
      </c>
      <c r="K2403" s="5">
        <v>-96.837246989738006</v>
      </c>
      <c r="L2403" s="5" t="str">
        <f>HYPERLINK("https://maps.google.com/?q=16.383008179521376,-96.837246989738077", "🔗 Ver Mapa")</f>
        <v>🔗 Ver Mapa</v>
      </c>
    </row>
    <row r="2404" spans="1:12" ht="43.5" x14ac:dyDescent="0.35">
      <c r="A2404" s="6" t="s">
        <v>206</v>
      </c>
      <c r="B2404" s="6" t="s">
        <v>207</v>
      </c>
      <c r="C2404" s="6" t="s">
        <v>383</v>
      </c>
      <c r="D2404" s="6" t="s">
        <v>251</v>
      </c>
      <c r="E2404" s="6" t="s">
        <v>37</v>
      </c>
      <c r="F2404" s="6" t="s">
        <v>384</v>
      </c>
      <c r="G2404" s="6" t="s">
        <v>385</v>
      </c>
      <c r="H2404" s="6" t="s">
        <v>386</v>
      </c>
      <c r="I2404" s="6" t="s">
        <v>213</v>
      </c>
      <c r="J2404" s="6">
        <v>16.383071048946999</v>
      </c>
      <c r="K2404" s="6">
        <v>-96.837555150213007</v>
      </c>
      <c r="L2404" s="6" t="str">
        <f>HYPERLINK("https://maps.google.com/?q=16.383071048947354,-96.837555150212665", "🔗 Ver Mapa")</f>
        <v>🔗 Ver Mapa</v>
      </c>
    </row>
    <row r="2405" spans="1:12" ht="43.5" x14ac:dyDescent="0.35">
      <c r="A2405" s="5" t="s">
        <v>206</v>
      </c>
      <c r="B2405" s="5" t="s">
        <v>207</v>
      </c>
      <c r="C2405" s="5" t="s">
        <v>383</v>
      </c>
      <c r="D2405" s="5" t="s">
        <v>251</v>
      </c>
      <c r="E2405" s="5" t="s">
        <v>37</v>
      </c>
      <c r="F2405" s="5" t="s">
        <v>384</v>
      </c>
      <c r="G2405" s="5" t="s">
        <v>385</v>
      </c>
      <c r="H2405" s="5" t="s">
        <v>386</v>
      </c>
      <c r="I2405" s="5" t="s">
        <v>213</v>
      </c>
      <c r="J2405" s="5">
        <v>16.383080935229</v>
      </c>
      <c r="K2405" s="5">
        <v>-96.844848016057</v>
      </c>
      <c r="L2405" s="5" t="str">
        <f>HYPERLINK("https://maps.google.com/?q=16.383080935229493,-96.844848016057043", "🔗 Ver Mapa")</f>
        <v>🔗 Ver Mapa</v>
      </c>
    </row>
    <row r="2406" spans="1:12" ht="43.5" x14ac:dyDescent="0.35">
      <c r="A2406" s="6" t="s">
        <v>206</v>
      </c>
      <c r="B2406" s="6" t="s">
        <v>207</v>
      </c>
      <c r="C2406" s="6" t="s">
        <v>383</v>
      </c>
      <c r="D2406" s="6" t="s">
        <v>251</v>
      </c>
      <c r="E2406" s="6" t="s">
        <v>37</v>
      </c>
      <c r="F2406" s="6" t="s">
        <v>384</v>
      </c>
      <c r="G2406" s="6" t="s">
        <v>385</v>
      </c>
      <c r="H2406" s="6" t="s">
        <v>386</v>
      </c>
      <c r="I2406" s="6" t="s">
        <v>213</v>
      </c>
      <c r="J2406" s="6">
        <v>16.383125736958</v>
      </c>
      <c r="K2406" s="6">
        <v>-96.838008754884001</v>
      </c>
      <c r="L2406" s="6" t="str">
        <f>HYPERLINK("https://maps.google.com/?q=16.383125736957904,-96.838008754883731", "🔗 Ver Mapa")</f>
        <v>🔗 Ver Mapa</v>
      </c>
    </row>
    <row r="2407" spans="1:12" ht="43.5" x14ac:dyDescent="0.35">
      <c r="A2407" s="5" t="s">
        <v>206</v>
      </c>
      <c r="B2407" s="5" t="s">
        <v>207</v>
      </c>
      <c r="C2407" s="5" t="s">
        <v>383</v>
      </c>
      <c r="D2407" s="5" t="s">
        <v>251</v>
      </c>
      <c r="E2407" s="5" t="s">
        <v>37</v>
      </c>
      <c r="F2407" s="5" t="s">
        <v>384</v>
      </c>
      <c r="G2407" s="5" t="s">
        <v>385</v>
      </c>
      <c r="H2407" s="5" t="s">
        <v>386</v>
      </c>
      <c r="I2407" s="5" t="s">
        <v>213</v>
      </c>
      <c r="J2407" s="5">
        <v>16.3831875385</v>
      </c>
      <c r="K2407" s="5">
        <v>-96.836859890306002</v>
      </c>
      <c r="L2407" s="5" t="str">
        <f>HYPERLINK("https://maps.google.com/?q=16.383187538499943,-96.836859890305917", "🔗 Ver Mapa")</f>
        <v>🔗 Ver Mapa</v>
      </c>
    </row>
    <row r="2408" spans="1:12" ht="43.5" x14ac:dyDescent="0.35">
      <c r="A2408" s="6" t="s">
        <v>206</v>
      </c>
      <c r="B2408" s="6" t="s">
        <v>207</v>
      </c>
      <c r="C2408" s="6" t="s">
        <v>383</v>
      </c>
      <c r="D2408" s="6" t="s">
        <v>251</v>
      </c>
      <c r="E2408" s="6" t="s">
        <v>37</v>
      </c>
      <c r="F2408" s="6" t="s">
        <v>384</v>
      </c>
      <c r="G2408" s="6" t="s">
        <v>385</v>
      </c>
      <c r="H2408" s="6" t="s">
        <v>386</v>
      </c>
      <c r="I2408" s="6" t="s">
        <v>213</v>
      </c>
      <c r="J2408" s="6">
        <v>16.383192936318999</v>
      </c>
      <c r="K2408" s="6">
        <v>-96.841803696309995</v>
      </c>
      <c r="L2408" s="6" t="str">
        <f>HYPERLINK("https://maps.google.com/?q=16.383192936318782,-96.841803696310322", "🔗 Ver Mapa")</f>
        <v>🔗 Ver Mapa</v>
      </c>
    </row>
    <row r="2409" spans="1:12" ht="43.5" x14ac:dyDescent="0.35">
      <c r="A2409" s="5" t="s">
        <v>206</v>
      </c>
      <c r="B2409" s="5" t="s">
        <v>207</v>
      </c>
      <c r="C2409" s="5" t="s">
        <v>383</v>
      </c>
      <c r="D2409" s="5" t="s">
        <v>251</v>
      </c>
      <c r="E2409" s="5" t="s">
        <v>37</v>
      </c>
      <c r="F2409" s="5" t="s">
        <v>384</v>
      </c>
      <c r="G2409" s="5" t="s">
        <v>385</v>
      </c>
      <c r="H2409" s="5" t="s">
        <v>386</v>
      </c>
      <c r="I2409" s="5" t="s">
        <v>213</v>
      </c>
      <c r="J2409" s="5">
        <v>16.383216361986001</v>
      </c>
      <c r="K2409" s="5">
        <v>-96.841925086188994</v>
      </c>
      <c r="L2409" s="5" t="str">
        <f>HYPERLINK("https://maps.google.com/?q=16.383216361986204,-96.841925086189491", "🔗 Ver Mapa")</f>
        <v>🔗 Ver Mapa</v>
      </c>
    </row>
    <row r="2410" spans="1:12" ht="43.5" x14ac:dyDescent="0.35">
      <c r="A2410" s="6" t="s">
        <v>206</v>
      </c>
      <c r="B2410" s="6" t="s">
        <v>207</v>
      </c>
      <c r="C2410" s="6" t="s">
        <v>383</v>
      </c>
      <c r="D2410" s="6" t="s">
        <v>251</v>
      </c>
      <c r="E2410" s="6" t="s">
        <v>37</v>
      </c>
      <c r="F2410" s="6" t="s">
        <v>384</v>
      </c>
      <c r="G2410" s="6" t="s">
        <v>385</v>
      </c>
      <c r="H2410" s="6" t="s">
        <v>386</v>
      </c>
      <c r="I2410" s="6" t="s">
        <v>213</v>
      </c>
      <c r="J2410" s="6">
        <v>16.383216792319001</v>
      </c>
      <c r="K2410" s="6">
        <v>-96.844200322182999</v>
      </c>
      <c r="L2410" s="6" t="str">
        <f>HYPERLINK("https://maps.google.com/?q=16.38321679231931,-96.844200322183212", "🔗 Ver Mapa")</f>
        <v>🔗 Ver Mapa</v>
      </c>
    </row>
    <row r="2411" spans="1:12" ht="43.5" x14ac:dyDescent="0.35">
      <c r="A2411" s="5" t="s">
        <v>206</v>
      </c>
      <c r="B2411" s="5" t="s">
        <v>207</v>
      </c>
      <c r="C2411" s="5" t="s">
        <v>383</v>
      </c>
      <c r="D2411" s="5" t="s">
        <v>251</v>
      </c>
      <c r="E2411" s="5" t="s">
        <v>37</v>
      </c>
      <c r="F2411" s="5" t="s">
        <v>384</v>
      </c>
      <c r="G2411" s="5" t="s">
        <v>385</v>
      </c>
      <c r="H2411" s="5" t="s">
        <v>386</v>
      </c>
      <c r="I2411" s="5" t="s">
        <v>213</v>
      </c>
      <c r="J2411" s="5">
        <v>16.383297006389</v>
      </c>
      <c r="K2411" s="5">
        <v>-96.844516316306994</v>
      </c>
      <c r="L2411" s="5" t="str">
        <f>HYPERLINK("https://maps.google.com/?q=16.3832970063893,-96.844516316307391", "🔗 Ver Mapa")</f>
        <v>🔗 Ver Mapa</v>
      </c>
    </row>
    <row r="2412" spans="1:12" ht="43.5" x14ac:dyDescent="0.35">
      <c r="A2412" s="6" t="s">
        <v>206</v>
      </c>
      <c r="B2412" s="6" t="s">
        <v>207</v>
      </c>
      <c r="C2412" s="6" t="s">
        <v>383</v>
      </c>
      <c r="D2412" s="6" t="s">
        <v>251</v>
      </c>
      <c r="E2412" s="6" t="s">
        <v>37</v>
      </c>
      <c r="F2412" s="6" t="s">
        <v>384</v>
      </c>
      <c r="G2412" s="6" t="s">
        <v>385</v>
      </c>
      <c r="H2412" s="6" t="s">
        <v>386</v>
      </c>
      <c r="I2412" s="6" t="s">
        <v>213</v>
      </c>
      <c r="J2412" s="6">
        <v>16.383351273008</v>
      </c>
      <c r="K2412" s="6">
        <v>-96.842082356972</v>
      </c>
      <c r="L2412" s="6" t="str">
        <f>HYPERLINK("https://maps.google.com/?q=16.38335127300784,-96.842082356972369", "🔗 Ver Mapa")</f>
        <v>🔗 Ver Mapa</v>
      </c>
    </row>
    <row r="2413" spans="1:12" ht="43.5" x14ac:dyDescent="0.35">
      <c r="A2413" s="5" t="s">
        <v>206</v>
      </c>
      <c r="B2413" s="5" t="s">
        <v>207</v>
      </c>
      <c r="C2413" s="5" t="s">
        <v>383</v>
      </c>
      <c r="D2413" s="5" t="s">
        <v>251</v>
      </c>
      <c r="E2413" s="5" t="s">
        <v>37</v>
      </c>
      <c r="F2413" s="5" t="s">
        <v>384</v>
      </c>
      <c r="G2413" s="5" t="s">
        <v>385</v>
      </c>
      <c r="H2413" s="5" t="s">
        <v>386</v>
      </c>
      <c r="I2413" s="5" t="s">
        <v>213</v>
      </c>
      <c r="J2413" s="5">
        <v>16.383423853383999</v>
      </c>
      <c r="K2413" s="5">
        <v>-96.843661391119994</v>
      </c>
      <c r="L2413" s="5" t="str">
        <f>HYPERLINK("https://maps.google.com/?q=16.383423853383754,-96.843661391120335", "🔗 Ver Mapa")</f>
        <v>🔗 Ver Mapa</v>
      </c>
    </row>
    <row r="2414" spans="1:12" ht="43.5" x14ac:dyDescent="0.35">
      <c r="A2414" s="6" t="s">
        <v>206</v>
      </c>
      <c r="B2414" s="6" t="s">
        <v>207</v>
      </c>
      <c r="C2414" s="6" t="s">
        <v>383</v>
      </c>
      <c r="D2414" s="6" t="s">
        <v>251</v>
      </c>
      <c r="E2414" s="6" t="s">
        <v>37</v>
      </c>
      <c r="F2414" s="6" t="s">
        <v>384</v>
      </c>
      <c r="G2414" s="6" t="s">
        <v>385</v>
      </c>
      <c r="H2414" s="6" t="s">
        <v>386</v>
      </c>
      <c r="I2414" s="6" t="s">
        <v>213</v>
      </c>
      <c r="J2414" s="6">
        <v>16.383474544723999</v>
      </c>
      <c r="K2414" s="6">
        <v>-96.841854578010995</v>
      </c>
      <c r="L2414" s="6" t="str">
        <f>HYPERLINK("https://maps.google.com/?q=16.383474544723605,-96.841854578011166", "🔗 Ver Mapa")</f>
        <v>🔗 Ver Mapa</v>
      </c>
    </row>
    <row r="2415" spans="1:12" ht="43.5" x14ac:dyDescent="0.35">
      <c r="A2415" s="5" t="s">
        <v>206</v>
      </c>
      <c r="B2415" s="5" t="s">
        <v>207</v>
      </c>
      <c r="C2415" s="5" t="s">
        <v>383</v>
      </c>
      <c r="D2415" s="5" t="s">
        <v>251</v>
      </c>
      <c r="E2415" s="5" t="s">
        <v>37</v>
      </c>
      <c r="F2415" s="5" t="s">
        <v>384</v>
      </c>
      <c r="G2415" s="5" t="s">
        <v>385</v>
      </c>
      <c r="H2415" s="5" t="s">
        <v>386</v>
      </c>
      <c r="I2415" s="5" t="s">
        <v>213</v>
      </c>
      <c r="J2415" s="5">
        <v>16.383493822801999</v>
      </c>
      <c r="K2415" s="5">
        <v>-96.842548315371999</v>
      </c>
      <c r="L2415" s="5" t="str">
        <f>HYPERLINK("https://maps.google.com/?q=16.383493822801913,-96.842548315372454", "🔗 Ver Mapa")</f>
        <v>🔗 Ver Mapa</v>
      </c>
    </row>
    <row r="2416" spans="1:12" ht="43.5" x14ac:dyDescent="0.35">
      <c r="A2416" s="6" t="s">
        <v>206</v>
      </c>
      <c r="B2416" s="6" t="s">
        <v>207</v>
      </c>
      <c r="C2416" s="6" t="s">
        <v>383</v>
      </c>
      <c r="D2416" s="6" t="s">
        <v>251</v>
      </c>
      <c r="E2416" s="6" t="s">
        <v>37</v>
      </c>
      <c r="F2416" s="6" t="s">
        <v>384</v>
      </c>
      <c r="G2416" s="6" t="s">
        <v>385</v>
      </c>
      <c r="H2416" s="6" t="s">
        <v>386</v>
      </c>
      <c r="I2416" s="6" t="s">
        <v>213</v>
      </c>
      <c r="J2416" s="6">
        <v>16.38352713566</v>
      </c>
      <c r="K2416" s="6">
        <v>-96.837003405454993</v>
      </c>
      <c r="L2416" s="6" t="str">
        <f>HYPERLINK("https://maps.google.com/?q=16.383527135660295,-96.837003405454794", "🔗 Ver Mapa")</f>
        <v>🔗 Ver Mapa</v>
      </c>
    </row>
    <row r="2417" spans="1:12" ht="43.5" x14ac:dyDescent="0.35">
      <c r="A2417" s="5" t="s">
        <v>206</v>
      </c>
      <c r="B2417" s="5" t="s">
        <v>207</v>
      </c>
      <c r="C2417" s="5" t="s">
        <v>383</v>
      </c>
      <c r="D2417" s="5" t="s">
        <v>251</v>
      </c>
      <c r="E2417" s="5" t="s">
        <v>37</v>
      </c>
      <c r="F2417" s="5" t="s">
        <v>384</v>
      </c>
      <c r="G2417" s="5" t="s">
        <v>385</v>
      </c>
      <c r="H2417" s="5" t="s">
        <v>386</v>
      </c>
      <c r="I2417" s="5" t="s">
        <v>213</v>
      </c>
      <c r="J2417" s="5">
        <v>16.383558272967001</v>
      </c>
      <c r="K2417" s="5">
        <v>-96.842711837398994</v>
      </c>
      <c r="L2417" s="5" t="str">
        <f>HYPERLINK("https://maps.google.com/?q=16.383558272967218,-96.84271183739925", "🔗 Ver Mapa")</f>
        <v>🔗 Ver Mapa</v>
      </c>
    </row>
    <row r="2418" spans="1:12" ht="43.5" x14ac:dyDescent="0.35">
      <c r="A2418" s="6" t="s">
        <v>206</v>
      </c>
      <c r="B2418" s="6" t="s">
        <v>207</v>
      </c>
      <c r="C2418" s="6" t="s">
        <v>383</v>
      </c>
      <c r="D2418" s="6" t="s">
        <v>251</v>
      </c>
      <c r="E2418" s="6" t="s">
        <v>37</v>
      </c>
      <c r="F2418" s="6" t="s">
        <v>384</v>
      </c>
      <c r="G2418" s="6" t="s">
        <v>385</v>
      </c>
      <c r="H2418" s="6" t="s">
        <v>386</v>
      </c>
      <c r="I2418" s="6" t="s">
        <v>213</v>
      </c>
      <c r="J2418" s="6">
        <v>16.383565422267999</v>
      </c>
      <c r="K2418" s="6">
        <v>-96.844486812927002</v>
      </c>
      <c r="L2418" s="6" t="str">
        <f>HYPERLINK("https://maps.google.com/?q=16.383565422268035,-96.844486812926817", "🔗 Ver Mapa")</f>
        <v>🔗 Ver Mapa</v>
      </c>
    </row>
    <row r="2419" spans="1:12" ht="43.5" x14ac:dyDescent="0.35">
      <c r="A2419" s="5" t="s">
        <v>206</v>
      </c>
      <c r="B2419" s="5" t="s">
        <v>207</v>
      </c>
      <c r="C2419" s="5" t="s">
        <v>383</v>
      </c>
      <c r="D2419" s="5" t="s">
        <v>251</v>
      </c>
      <c r="E2419" s="5" t="s">
        <v>37</v>
      </c>
      <c r="F2419" s="5" t="s">
        <v>384</v>
      </c>
      <c r="G2419" s="5" t="s">
        <v>385</v>
      </c>
      <c r="H2419" s="5" t="s">
        <v>386</v>
      </c>
      <c r="I2419" s="5" t="s">
        <v>213</v>
      </c>
      <c r="J2419" s="5">
        <v>16.383705070030999</v>
      </c>
      <c r="K2419" s="5">
        <v>-96.841937927079002</v>
      </c>
      <c r="L2419" s="5" t="str">
        <f>HYPERLINK("https://maps.google.com/?q=16.38370507003081,-96.841937927079073", "🔗 Ver Mapa")</f>
        <v>🔗 Ver Mapa</v>
      </c>
    </row>
    <row r="2420" spans="1:12" ht="43.5" x14ac:dyDescent="0.35">
      <c r="A2420" s="6" t="s">
        <v>206</v>
      </c>
      <c r="B2420" s="6" t="s">
        <v>207</v>
      </c>
      <c r="C2420" s="6" t="s">
        <v>383</v>
      </c>
      <c r="D2420" s="6" t="s">
        <v>251</v>
      </c>
      <c r="E2420" s="6" t="s">
        <v>37</v>
      </c>
      <c r="F2420" s="6" t="s">
        <v>384</v>
      </c>
      <c r="G2420" s="6" t="s">
        <v>385</v>
      </c>
      <c r="H2420" s="6" t="s">
        <v>386</v>
      </c>
      <c r="I2420" s="6" t="s">
        <v>213</v>
      </c>
      <c r="J2420" s="6">
        <v>16.383757055090001</v>
      </c>
      <c r="K2420" s="6">
        <v>-96.844479604721997</v>
      </c>
      <c r="L2420" s="6" t="str">
        <f>HYPERLINK("https://maps.google.com/?q=16.383757055090005,-96.844479604722395", "🔗 Ver Mapa")</f>
        <v>🔗 Ver Mapa</v>
      </c>
    </row>
    <row r="2421" spans="1:12" ht="43.5" x14ac:dyDescent="0.35">
      <c r="A2421" s="5" t="s">
        <v>206</v>
      </c>
      <c r="B2421" s="5" t="s">
        <v>207</v>
      </c>
      <c r="C2421" s="5" t="s">
        <v>383</v>
      </c>
      <c r="D2421" s="5" t="s">
        <v>251</v>
      </c>
      <c r="E2421" s="5" t="s">
        <v>37</v>
      </c>
      <c r="F2421" s="5" t="s">
        <v>384</v>
      </c>
      <c r="G2421" s="5" t="s">
        <v>385</v>
      </c>
      <c r="H2421" s="5" t="s">
        <v>386</v>
      </c>
      <c r="I2421" s="5" t="s">
        <v>213</v>
      </c>
      <c r="J2421" s="5">
        <v>16.383765666752002</v>
      </c>
      <c r="K2421" s="5">
        <v>-96.841649700236999</v>
      </c>
      <c r="L2421" s="5" t="str">
        <f>HYPERLINK("https://maps.google.com/?q=16.383765666751597,-96.841649700237397", "🔗 Ver Mapa")</f>
        <v>🔗 Ver Mapa</v>
      </c>
    </row>
    <row r="2422" spans="1:12" ht="43.5" x14ac:dyDescent="0.35">
      <c r="A2422" s="6" t="s">
        <v>206</v>
      </c>
      <c r="B2422" s="6" t="s">
        <v>207</v>
      </c>
      <c r="C2422" s="6" t="s">
        <v>383</v>
      </c>
      <c r="D2422" s="6" t="s">
        <v>251</v>
      </c>
      <c r="E2422" s="6" t="s">
        <v>37</v>
      </c>
      <c r="F2422" s="6" t="s">
        <v>384</v>
      </c>
      <c r="G2422" s="6" t="s">
        <v>385</v>
      </c>
      <c r="H2422" s="6" t="s">
        <v>386</v>
      </c>
      <c r="I2422" s="6" t="s">
        <v>213</v>
      </c>
      <c r="J2422" s="6">
        <v>16.383774588158001</v>
      </c>
      <c r="K2422" s="6">
        <v>-96.841442801021003</v>
      </c>
      <c r="L2422" s="6" t="str">
        <f>HYPERLINK("https://maps.google.com/?q=16.383774588158236,-96.841442801020591", "🔗 Ver Mapa")</f>
        <v>🔗 Ver Mapa</v>
      </c>
    </row>
    <row r="2423" spans="1:12" ht="43.5" x14ac:dyDescent="0.35">
      <c r="A2423" s="5" t="s">
        <v>206</v>
      </c>
      <c r="B2423" s="5" t="s">
        <v>207</v>
      </c>
      <c r="C2423" s="5" t="s">
        <v>383</v>
      </c>
      <c r="D2423" s="5" t="s">
        <v>251</v>
      </c>
      <c r="E2423" s="5" t="s">
        <v>37</v>
      </c>
      <c r="F2423" s="5" t="s">
        <v>384</v>
      </c>
      <c r="G2423" s="5" t="s">
        <v>385</v>
      </c>
      <c r="H2423" s="5" t="s">
        <v>386</v>
      </c>
      <c r="I2423" s="5" t="s">
        <v>213</v>
      </c>
      <c r="J2423" s="5">
        <v>16.383807985943001</v>
      </c>
      <c r="K2423" s="5">
        <v>-96.843468964712997</v>
      </c>
      <c r="L2423" s="5" t="str">
        <f>HYPERLINK("https://maps.google.com/?q=16.3838079859433,-96.843468964712926", "🔗 Ver Mapa")</f>
        <v>🔗 Ver Mapa</v>
      </c>
    </row>
    <row r="2424" spans="1:12" ht="43.5" x14ac:dyDescent="0.35">
      <c r="A2424" s="6" t="s">
        <v>206</v>
      </c>
      <c r="B2424" s="6" t="s">
        <v>207</v>
      </c>
      <c r="C2424" s="6" t="s">
        <v>383</v>
      </c>
      <c r="D2424" s="6" t="s">
        <v>251</v>
      </c>
      <c r="E2424" s="6" t="s">
        <v>37</v>
      </c>
      <c r="F2424" s="6" t="s">
        <v>384</v>
      </c>
      <c r="G2424" s="6" t="s">
        <v>385</v>
      </c>
      <c r="H2424" s="6" t="s">
        <v>386</v>
      </c>
      <c r="I2424" s="6" t="s">
        <v>213</v>
      </c>
      <c r="J2424" s="6">
        <v>16.383808821536999</v>
      </c>
      <c r="K2424" s="6">
        <v>-96.842896746259001</v>
      </c>
      <c r="L2424" s="6" t="str">
        <f>HYPERLINK("https://maps.google.com/?q=16.383808821536732,-96.842896746258873", "🔗 Ver Mapa")</f>
        <v>🔗 Ver Mapa</v>
      </c>
    </row>
    <row r="2425" spans="1:12" ht="43.5" x14ac:dyDescent="0.35">
      <c r="A2425" s="5" t="s">
        <v>206</v>
      </c>
      <c r="B2425" s="5" t="s">
        <v>207</v>
      </c>
      <c r="C2425" s="5" t="s">
        <v>383</v>
      </c>
      <c r="D2425" s="5" t="s">
        <v>251</v>
      </c>
      <c r="E2425" s="5" t="s">
        <v>37</v>
      </c>
      <c r="F2425" s="5" t="s">
        <v>384</v>
      </c>
      <c r="G2425" s="5" t="s">
        <v>385</v>
      </c>
      <c r="H2425" s="5" t="s">
        <v>386</v>
      </c>
      <c r="I2425" s="5" t="s">
        <v>213</v>
      </c>
      <c r="J2425" s="5">
        <v>16.383846646135002</v>
      </c>
      <c r="K2425" s="5">
        <v>-96.841482176208004</v>
      </c>
      <c r="L2425" s="5" t="str">
        <f>HYPERLINK("https://maps.google.com/?q=16.383846646134515,-96.84148217620816", "🔗 Ver Mapa")</f>
        <v>🔗 Ver Mapa</v>
      </c>
    </row>
    <row r="2426" spans="1:12" ht="43.5" x14ac:dyDescent="0.35">
      <c r="A2426" s="6" t="s">
        <v>206</v>
      </c>
      <c r="B2426" s="6" t="s">
        <v>207</v>
      </c>
      <c r="C2426" s="6" t="s">
        <v>383</v>
      </c>
      <c r="D2426" s="6" t="s">
        <v>251</v>
      </c>
      <c r="E2426" s="6" t="s">
        <v>37</v>
      </c>
      <c r="F2426" s="6" t="s">
        <v>384</v>
      </c>
      <c r="G2426" s="6" t="s">
        <v>385</v>
      </c>
      <c r="H2426" s="6" t="s">
        <v>386</v>
      </c>
      <c r="I2426" s="6" t="s">
        <v>213</v>
      </c>
      <c r="J2426" s="6">
        <v>16.383893929540999</v>
      </c>
      <c r="K2426" s="6">
        <v>-96.836429527212999</v>
      </c>
      <c r="L2426" s="6" t="str">
        <f>HYPERLINK("https://maps.google.com/?q=16.383893929541294,-96.836429527213127", "🔗 Ver Mapa")</f>
        <v>🔗 Ver Mapa</v>
      </c>
    </row>
    <row r="2427" spans="1:12" ht="43.5" x14ac:dyDescent="0.35">
      <c r="A2427" s="5" t="s">
        <v>206</v>
      </c>
      <c r="B2427" s="5" t="s">
        <v>207</v>
      </c>
      <c r="C2427" s="5" t="s">
        <v>383</v>
      </c>
      <c r="D2427" s="5" t="s">
        <v>251</v>
      </c>
      <c r="E2427" s="5" t="s">
        <v>37</v>
      </c>
      <c r="F2427" s="5" t="s">
        <v>384</v>
      </c>
      <c r="G2427" s="5" t="s">
        <v>385</v>
      </c>
      <c r="H2427" s="5" t="s">
        <v>386</v>
      </c>
      <c r="I2427" s="5" t="s">
        <v>213</v>
      </c>
      <c r="J2427" s="5">
        <v>16.383907908903002</v>
      </c>
      <c r="K2427" s="5">
        <v>-96.84159385625</v>
      </c>
      <c r="L2427" s="5" t="str">
        <f>HYPERLINK("https://maps.google.com/?q=16.383907908902724,-96.841593856249816", "🔗 Ver Mapa")</f>
        <v>🔗 Ver Mapa</v>
      </c>
    </row>
    <row r="2428" spans="1:12" ht="43.5" x14ac:dyDescent="0.35">
      <c r="A2428" s="6" t="s">
        <v>206</v>
      </c>
      <c r="B2428" s="6" t="s">
        <v>207</v>
      </c>
      <c r="C2428" s="6" t="s">
        <v>383</v>
      </c>
      <c r="D2428" s="6" t="s">
        <v>251</v>
      </c>
      <c r="E2428" s="6" t="s">
        <v>37</v>
      </c>
      <c r="F2428" s="6" t="s">
        <v>384</v>
      </c>
      <c r="G2428" s="6" t="s">
        <v>385</v>
      </c>
      <c r="H2428" s="6" t="s">
        <v>386</v>
      </c>
      <c r="I2428" s="6" t="s">
        <v>213</v>
      </c>
      <c r="J2428" s="6">
        <v>16.383931852078</v>
      </c>
      <c r="K2428" s="6">
        <v>-96.837063235108999</v>
      </c>
      <c r="L2428" s="6" t="str">
        <f>HYPERLINK("https://maps.google.com/?q=16.383931852078284,-96.837063235108673", "🔗 Ver Mapa")</f>
        <v>🔗 Ver Mapa</v>
      </c>
    </row>
    <row r="2429" spans="1:12" ht="43.5" x14ac:dyDescent="0.35">
      <c r="A2429" s="5" t="s">
        <v>206</v>
      </c>
      <c r="B2429" s="5" t="s">
        <v>207</v>
      </c>
      <c r="C2429" s="5" t="s">
        <v>383</v>
      </c>
      <c r="D2429" s="5" t="s">
        <v>251</v>
      </c>
      <c r="E2429" s="5" t="s">
        <v>37</v>
      </c>
      <c r="F2429" s="5" t="s">
        <v>384</v>
      </c>
      <c r="G2429" s="5" t="s">
        <v>385</v>
      </c>
      <c r="H2429" s="5" t="s">
        <v>386</v>
      </c>
      <c r="I2429" s="5" t="s">
        <v>213</v>
      </c>
      <c r="J2429" s="5">
        <v>16.383941782659001</v>
      </c>
      <c r="K2429" s="5">
        <v>-96.841533389079004</v>
      </c>
      <c r="L2429" s="5" t="str">
        <f>HYPERLINK("https://maps.google.com/?q=16.383941782658567,-96.841533389079316", "🔗 Ver Mapa")</f>
        <v>🔗 Ver Mapa</v>
      </c>
    </row>
    <row r="2430" spans="1:12" ht="43.5" x14ac:dyDescent="0.35">
      <c r="A2430" s="6" t="s">
        <v>206</v>
      </c>
      <c r="B2430" s="6" t="s">
        <v>207</v>
      </c>
      <c r="C2430" s="6" t="s">
        <v>383</v>
      </c>
      <c r="D2430" s="6" t="s">
        <v>251</v>
      </c>
      <c r="E2430" s="6" t="s">
        <v>37</v>
      </c>
      <c r="F2430" s="6" t="s">
        <v>384</v>
      </c>
      <c r="G2430" s="6" t="s">
        <v>385</v>
      </c>
      <c r="H2430" s="6" t="s">
        <v>386</v>
      </c>
      <c r="I2430" s="6" t="s">
        <v>213</v>
      </c>
      <c r="J2430" s="6">
        <v>16.383977166642001</v>
      </c>
      <c r="K2430" s="6">
        <v>-96.839506515099004</v>
      </c>
      <c r="L2430" s="6" t="str">
        <f>HYPERLINK("https://maps.google.com/?q=16.383977166642083,-96.839506515099117", "🔗 Ver Mapa")</f>
        <v>🔗 Ver Mapa</v>
      </c>
    </row>
    <row r="2431" spans="1:12" ht="43.5" x14ac:dyDescent="0.35">
      <c r="A2431" s="5" t="s">
        <v>206</v>
      </c>
      <c r="B2431" s="5" t="s">
        <v>207</v>
      </c>
      <c r="C2431" s="5" t="s">
        <v>383</v>
      </c>
      <c r="D2431" s="5" t="s">
        <v>251</v>
      </c>
      <c r="E2431" s="5" t="s">
        <v>37</v>
      </c>
      <c r="F2431" s="5" t="s">
        <v>384</v>
      </c>
      <c r="G2431" s="5" t="s">
        <v>385</v>
      </c>
      <c r="H2431" s="5" t="s">
        <v>386</v>
      </c>
      <c r="I2431" s="5" t="s">
        <v>213</v>
      </c>
      <c r="J2431" s="5">
        <v>16.383979662001</v>
      </c>
      <c r="K2431" s="5">
        <v>-96.841753189182995</v>
      </c>
      <c r="L2431" s="5" t="str">
        <f>HYPERLINK("https://maps.google.com/?q=16.383979662001483,-96.841753189182739", "🔗 Ver Mapa")</f>
        <v>🔗 Ver Mapa</v>
      </c>
    </row>
    <row r="2432" spans="1:12" ht="43.5" x14ac:dyDescent="0.35">
      <c r="A2432" s="6" t="s">
        <v>206</v>
      </c>
      <c r="B2432" s="6" t="s">
        <v>207</v>
      </c>
      <c r="C2432" s="6" t="s">
        <v>383</v>
      </c>
      <c r="D2432" s="6" t="s">
        <v>251</v>
      </c>
      <c r="E2432" s="6" t="s">
        <v>37</v>
      </c>
      <c r="F2432" s="6" t="s">
        <v>384</v>
      </c>
      <c r="G2432" s="6" t="s">
        <v>385</v>
      </c>
      <c r="H2432" s="6" t="s">
        <v>386</v>
      </c>
      <c r="I2432" s="6" t="s">
        <v>213</v>
      </c>
      <c r="J2432" s="6">
        <v>16.384000788203</v>
      </c>
      <c r="K2432" s="6">
        <v>-96.844587408961999</v>
      </c>
      <c r="L2432" s="6" t="str">
        <f>HYPERLINK("https://maps.google.com/?q=16.38400078820299,-96.844587408962227", "🔗 Ver Mapa")</f>
        <v>🔗 Ver Mapa</v>
      </c>
    </row>
    <row r="2433" spans="1:12" ht="43.5" x14ac:dyDescent="0.35">
      <c r="A2433" s="5" t="s">
        <v>206</v>
      </c>
      <c r="B2433" s="5" t="s">
        <v>207</v>
      </c>
      <c r="C2433" s="5" t="s">
        <v>383</v>
      </c>
      <c r="D2433" s="5" t="s">
        <v>251</v>
      </c>
      <c r="E2433" s="5" t="s">
        <v>37</v>
      </c>
      <c r="F2433" s="5" t="s">
        <v>384</v>
      </c>
      <c r="G2433" s="5" t="s">
        <v>385</v>
      </c>
      <c r="H2433" s="5" t="s">
        <v>386</v>
      </c>
      <c r="I2433" s="5" t="s">
        <v>213</v>
      </c>
      <c r="J2433" s="5">
        <v>16.384027487604001</v>
      </c>
      <c r="K2433" s="5">
        <v>-96.844906958156002</v>
      </c>
      <c r="L2433" s="5" t="str">
        <f>HYPERLINK("https://maps.google.com/?q=16.384027487604214,-96.844906958156173", "🔗 Ver Mapa")</f>
        <v>🔗 Ver Mapa</v>
      </c>
    </row>
    <row r="2434" spans="1:12" ht="43.5" x14ac:dyDescent="0.35">
      <c r="A2434" s="6" t="s">
        <v>206</v>
      </c>
      <c r="B2434" s="6" t="s">
        <v>207</v>
      </c>
      <c r="C2434" s="6" t="s">
        <v>383</v>
      </c>
      <c r="D2434" s="6" t="s">
        <v>251</v>
      </c>
      <c r="E2434" s="6" t="s">
        <v>37</v>
      </c>
      <c r="F2434" s="6" t="s">
        <v>384</v>
      </c>
      <c r="G2434" s="6" t="s">
        <v>385</v>
      </c>
      <c r="H2434" s="6" t="s">
        <v>386</v>
      </c>
      <c r="I2434" s="6" t="s">
        <v>213</v>
      </c>
      <c r="J2434" s="6">
        <v>16.384043425182998</v>
      </c>
      <c r="K2434" s="6">
        <v>-96.836163401617</v>
      </c>
      <c r="L2434" s="6" t="str">
        <f>HYPERLINK("https://maps.google.com/?q=16.384043425183435,-96.836163401616503", "🔗 Ver Mapa")</f>
        <v>🔗 Ver Mapa</v>
      </c>
    </row>
    <row r="2435" spans="1:12" ht="43.5" x14ac:dyDescent="0.35">
      <c r="A2435" s="5" t="s">
        <v>206</v>
      </c>
      <c r="B2435" s="5" t="s">
        <v>207</v>
      </c>
      <c r="C2435" s="5" t="s">
        <v>383</v>
      </c>
      <c r="D2435" s="5" t="s">
        <v>251</v>
      </c>
      <c r="E2435" s="5" t="s">
        <v>37</v>
      </c>
      <c r="F2435" s="5" t="s">
        <v>384</v>
      </c>
      <c r="G2435" s="5" t="s">
        <v>385</v>
      </c>
      <c r="H2435" s="5" t="s">
        <v>386</v>
      </c>
      <c r="I2435" s="5" t="s">
        <v>213</v>
      </c>
      <c r="J2435" s="5">
        <v>16.384047344999999</v>
      </c>
      <c r="K2435" s="5">
        <v>-96.839639050976999</v>
      </c>
      <c r="L2435" s="5" t="str">
        <f>HYPERLINK("https://maps.google.com/?q=16.384047344999818,-96.83963905097707", "🔗 Ver Mapa")</f>
        <v>🔗 Ver Mapa</v>
      </c>
    </row>
    <row r="2436" spans="1:12" ht="43.5" x14ac:dyDescent="0.35">
      <c r="A2436" s="6" t="s">
        <v>206</v>
      </c>
      <c r="B2436" s="6" t="s">
        <v>207</v>
      </c>
      <c r="C2436" s="6" t="s">
        <v>383</v>
      </c>
      <c r="D2436" s="6" t="s">
        <v>251</v>
      </c>
      <c r="E2436" s="6" t="s">
        <v>37</v>
      </c>
      <c r="F2436" s="6" t="s">
        <v>384</v>
      </c>
      <c r="G2436" s="6" t="s">
        <v>385</v>
      </c>
      <c r="H2436" s="6" t="s">
        <v>386</v>
      </c>
      <c r="I2436" s="6" t="s">
        <v>213</v>
      </c>
      <c r="J2436" s="6">
        <v>16.384049203027999</v>
      </c>
      <c r="K2436" s="6">
        <v>-96.844546874431998</v>
      </c>
      <c r="L2436" s="6" t="str">
        <f>HYPERLINK("https://maps.google.com/?q=16.384049203027583,-96.844546874432083", "🔗 Ver Mapa")</f>
        <v>🔗 Ver Mapa</v>
      </c>
    </row>
    <row r="2437" spans="1:12" ht="43.5" x14ac:dyDescent="0.35">
      <c r="A2437" s="5" t="s">
        <v>206</v>
      </c>
      <c r="B2437" s="5" t="s">
        <v>207</v>
      </c>
      <c r="C2437" s="5" t="s">
        <v>383</v>
      </c>
      <c r="D2437" s="5" t="s">
        <v>251</v>
      </c>
      <c r="E2437" s="5" t="s">
        <v>37</v>
      </c>
      <c r="F2437" s="5" t="s">
        <v>384</v>
      </c>
      <c r="G2437" s="5" t="s">
        <v>385</v>
      </c>
      <c r="H2437" s="5" t="s">
        <v>386</v>
      </c>
      <c r="I2437" s="5" t="s">
        <v>213</v>
      </c>
      <c r="J2437" s="5">
        <v>16.384085949020999</v>
      </c>
      <c r="K2437" s="5">
        <v>-96.842937973632999</v>
      </c>
      <c r="L2437" s="5" t="str">
        <f>HYPERLINK("https://maps.google.com/?q=16.384085949021223,-96.842937973632857", "🔗 Ver Mapa")</f>
        <v>🔗 Ver Mapa</v>
      </c>
    </row>
    <row r="2438" spans="1:12" ht="43.5" x14ac:dyDescent="0.35">
      <c r="A2438" s="6" t="s">
        <v>206</v>
      </c>
      <c r="B2438" s="6" t="s">
        <v>207</v>
      </c>
      <c r="C2438" s="6" t="s">
        <v>383</v>
      </c>
      <c r="D2438" s="6" t="s">
        <v>251</v>
      </c>
      <c r="E2438" s="6" t="s">
        <v>37</v>
      </c>
      <c r="F2438" s="6" t="s">
        <v>384</v>
      </c>
      <c r="G2438" s="6" t="s">
        <v>385</v>
      </c>
      <c r="H2438" s="6" t="s">
        <v>386</v>
      </c>
      <c r="I2438" s="6" t="s">
        <v>213</v>
      </c>
      <c r="J2438" s="6">
        <v>16.384160831527002</v>
      </c>
      <c r="K2438" s="6">
        <v>-96.845099289263999</v>
      </c>
      <c r="L2438" s="6" t="str">
        <f>HYPERLINK("https://maps.google.com/?q=16.38416083152685,-96.845099289264297", "🔗 Ver Mapa")</f>
        <v>🔗 Ver Mapa</v>
      </c>
    </row>
    <row r="2439" spans="1:12" ht="43.5" x14ac:dyDescent="0.35">
      <c r="A2439" s="5" t="s">
        <v>206</v>
      </c>
      <c r="B2439" s="5" t="s">
        <v>207</v>
      </c>
      <c r="C2439" s="5" t="s">
        <v>383</v>
      </c>
      <c r="D2439" s="5" t="s">
        <v>251</v>
      </c>
      <c r="E2439" s="5" t="s">
        <v>37</v>
      </c>
      <c r="F2439" s="5" t="s">
        <v>384</v>
      </c>
      <c r="G2439" s="5" t="s">
        <v>385</v>
      </c>
      <c r="H2439" s="5" t="s">
        <v>386</v>
      </c>
      <c r="I2439" s="5" t="s">
        <v>213</v>
      </c>
      <c r="J2439" s="5">
        <v>16.384234816776001</v>
      </c>
      <c r="K2439" s="5">
        <v>-96.842107818844994</v>
      </c>
      <c r="L2439" s="5" t="str">
        <f>HYPERLINK("https://maps.google.com/?q=16.384234816775553,-96.84210781884498", "🔗 Ver Mapa")</f>
        <v>🔗 Ver Mapa</v>
      </c>
    </row>
    <row r="2440" spans="1:12" ht="43.5" x14ac:dyDescent="0.35">
      <c r="A2440" s="6" t="s">
        <v>206</v>
      </c>
      <c r="B2440" s="6" t="s">
        <v>207</v>
      </c>
      <c r="C2440" s="6" t="s">
        <v>383</v>
      </c>
      <c r="D2440" s="6" t="s">
        <v>251</v>
      </c>
      <c r="E2440" s="6" t="s">
        <v>37</v>
      </c>
      <c r="F2440" s="6" t="s">
        <v>384</v>
      </c>
      <c r="G2440" s="6" t="s">
        <v>385</v>
      </c>
      <c r="H2440" s="6" t="s">
        <v>386</v>
      </c>
      <c r="I2440" s="6" t="s">
        <v>213</v>
      </c>
      <c r="J2440" s="6">
        <v>16.384255882264</v>
      </c>
      <c r="K2440" s="6">
        <v>-96.844272057149993</v>
      </c>
      <c r="L2440" s="6" t="str">
        <f>HYPERLINK("https://maps.google.com/?q=16.38425588226357,-96.844272057150405", "🔗 Ver Mapa")</f>
        <v>🔗 Ver Mapa</v>
      </c>
    </row>
    <row r="2441" spans="1:12" ht="43.5" x14ac:dyDescent="0.35">
      <c r="A2441" s="5" t="s">
        <v>206</v>
      </c>
      <c r="B2441" s="5" t="s">
        <v>207</v>
      </c>
      <c r="C2441" s="5" t="s">
        <v>383</v>
      </c>
      <c r="D2441" s="5" t="s">
        <v>251</v>
      </c>
      <c r="E2441" s="5" t="s">
        <v>37</v>
      </c>
      <c r="F2441" s="5" t="s">
        <v>384</v>
      </c>
      <c r="G2441" s="5" t="s">
        <v>385</v>
      </c>
      <c r="H2441" s="5" t="s">
        <v>386</v>
      </c>
      <c r="I2441" s="5" t="s">
        <v>213</v>
      </c>
      <c r="J2441" s="5">
        <v>16.384267364325002</v>
      </c>
      <c r="K2441" s="5">
        <v>-96.836703291812</v>
      </c>
      <c r="L2441" s="5" t="str">
        <f>HYPERLINK("https://maps.google.com/?q=16.38426736432523,-96.836703291811702", "🔗 Ver Mapa")</f>
        <v>🔗 Ver Mapa</v>
      </c>
    </row>
    <row r="2442" spans="1:12" ht="43.5" x14ac:dyDescent="0.35">
      <c r="A2442" s="6" t="s">
        <v>206</v>
      </c>
      <c r="B2442" s="6" t="s">
        <v>207</v>
      </c>
      <c r="C2442" s="6" t="s">
        <v>383</v>
      </c>
      <c r="D2442" s="6" t="s">
        <v>251</v>
      </c>
      <c r="E2442" s="6" t="s">
        <v>37</v>
      </c>
      <c r="F2442" s="6" t="s">
        <v>384</v>
      </c>
      <c r="G2442" s="6" t="s">
        <v>385</v>
      </c>
      <c r="H2442" s="6" t="s">
        <v>386</v>
      </c>
      <c r="I2442" s="6" t="s">
        <v>213</v>
      </c>
      <c r="J2442" s="6">
        <v>16.384272262972001</v>
      </c>
      <c r="K2442" s="6">
        <v>-96.841537947915</v>
      </c>
      <c r="L2442" s="6" t="str">
        <f>HYPERLINK("https://maps.google.com/?q=16.384272262972356,-96.841537947914816", "🔗 Ver Mapa")</f>
        <v>🔗 Ver Mapa</v>
      </c>
    </row>
    <row r="2443" spans="1:12" ht="43.5" x14ac:dyDescent="0.35">
      <c r="A2443" s="5" t="s">
        <v>206</v>
      </c>
      <c r="B2443" s="5" t="s">
        <v>207</v>
      </c>
      <c r="C2443" s="5" t="s">
        <v>383</v>
      </c>
      <c r="D2443" s="5" t="s">
        <v>251</v>
      </c>
      <c r="E2443" s="5" t="s">
        <v>37</v>
      </c>
      <c r="F2443" s="5" t="s">
        <v>384</v>
      </c>
      <c r="G2443" s="5" t="s">
        <v>385</v>
      </c>
      <c r="H2443" s="5" t="s">
        <v>386</v>
      </c>
      <c r="I2443" s="5" t="s">
        <v>213</v>
      </c>
      <c r="J2443" s="5">
        <v>16.384273237578</v>
      </c>
      <c r="K2443" s="5">
        <v>-96.843135296905999</v>
      </c>
      <c r="L2443" s="5" t="str">
        <f>HYPERLINK("https://maps.google.com/?q=16.384273237578476,-96.843135296905984", "🔗 Ver Mapa")</f>
        <v>🔗 Ver Mapa</v>
      </c>
    </row>
    <row r="2444" spans="1:12" ht="43.5" x14ac:dyDescent="0.35">
      <c r="A2444" s="6" t="s">
        <v>206</v>
      </c>
      <c r="B2444" s="6" t="s">
        <v>207</v>
      </c>
      <c r="C2444" s="6" t="s">
        <v>383</v>
      </c>
      <c r="D2444" s="6" t="s">
        <v>251</v>
      </c>
      <c r="E2444" s="6" t="s">
        <v>37</v>
      </c>
      <c r="F2444" s="6" t="s">
        <v>384</v>
      </c>
      <c r="G2444" s="6" t="s">
        <v>385</v>
      </c>
      <c r="H2444" s="6" t="s">
        <v>386</v>
      </c>
      <c r="I2444" s="6" t="s">
        <v>213</v>
      </c>
      <c r="J2444" s="6">
        <v>16.384275722367999</v>
      </c>
      <c r="K2444" s="6">
        <v>-96.839910799213001</v>
      </c>
      <c r="L2444" s="6" t="str">
        <f>HYPERLINK("https://maps.google.com/?q=16.384275722367583,-96.839910799212774", "🔗 Ver Mapa")</f>
        <v>🔗 Ver Mapa</v>
      </c>
    </row>
    <row r="2445" spans="1:12" ht="43.5" x14ac:dyDescent="0.35">
      <c r="A2445" s="5" t="s">
        <v>206</v>
      </c>
      <c r="B2445" s="5" t="s">
        <v>207</v>
      </c>
      <c r="C2445" s="5" t="s">
        <v>383</v>
      </c>
      <c r="D2445" s="5" t="s">
        <v>251</v>
      </c>
      <c r="E2445" s="5" t="s">
        <v>37</v>
      </c>
      <c r="F2445" s="5" t="s">
        <v>384</v>
      </c>
      <c r="G2445" s="5" t="s">
        <v>385</v>
      </c>
      <c r="H2445" s="5" t="s">
        <v>386</v>
      </c>
      <c r="I2445" s="5" t="s">
        <v>213</v>
      </c>
      <c r="J2445" s="5">
        <v>16.384300816583</v>
      </c>
      <c r="K2445" s="5">
        <v>-96.845167362604997</v>
      </c>
      <c r="L2445" s="5" t="str">
        <f>HYPERLINK("https://maps.google.com/?q=16.384300816582666,-96.845167362605139", "🔗 Ver Mapa")</f>
        <v>🔗 Ver Mapa</v>
      </c>
    </row>
    <row r="2446" spans="1:12" ht="43.5" x14ac:dyDescent="0.35">
      <c r="A2446" s="6" t="s">
        <v>206</v>
      </c>
      <c r="B2446" s="6" t="s">
        <v>207</v>
      </c>
      <c r="C2446" s="6" t="s">
        <v>383</v>
      </c>
      <c r="D2446" s="6" t="s">
        <v>251</v>
      </c>
      <c r="E2446" s="6" t="s">
        <v>37</v>
      </c>
      <c r="F2446" s="6" t="s">
        <v>384</v>
      </c>
      <c r="G2446" s="6" t="s">
        <v>385</v>
      </c>
      <c r="H2446" s="6" t="s">
        <v>386</v>
      </c>
      <c r="I2446" s="6" t="s">
        <v>213</v>
      </c>
      <c r="J2446" s="6">
        <v>16.384310393903998</v>
      </c>
      <c r="K2446" s="6">
        <v>-96.837203766230004</v>
      </c>
      <c r="L2446" s="6" t="str">
        <f>HYPERLINK("https://maps.google.com/?q=16.384310393903522,-96.837203766229806", "🔗 Ver Mapa")</f>
        <v>🔗 Ver Mapa</v>
      </c>
    </row>
    <row r="2447" spans="1:12" ht="43.5" x14ac:dyDescent="0.35">
      <c r="A2447" s="5" t="s">
        <v>206</v>
      </c>
      <c r="B2447" s="5" t="s">
        <v>207</v>
      </c>
      <c r="C2447" s="5" t="s">
        <v>383</v>
      </c>
      <c r="D2447" s="5" t="s">
        <v>251</v>
      </c>
      <c r="E2447" s="5" t="s">
        <v>37</v>
      </c>
      <c r="F2447" s="5" t="s">
        <v>384</v>
      </c>
      <c r="G2447" s="5" t="s">
        <v>385</v>
      </c>
      <c r="H2447" s="5" t="s">
        <v>386</v>
      </c>
      <c r="I2447" s="5" t="s">
        <v>213</v>
      </c>
      <c r="J2447" s="5">
        <v>16.384324360623999</v>
      </c>
      <c r="K2447" s="5">
        <v>-96.840278979998999</v>
      </c>
      <c r="L2447" s="5" t="str">
        <f>HYPERLINK("https://maps.google.com/?q=16.38432436062378,-96.840278979999411", "🔗 Ver Mapa")</f>
        <v>🔗 Ver Mapa</v>
      </c>
    </row>
    <row r="2448" spans="1:12" ht="43.5" x14ac:dyDescent="0.35">
      <c r="A2448" s="6" t="s">
        <v>206</v>
      </c>
      <c r="B2448" s="6" t="s">
        <v>207</v>
      </c>
      <c r="C2448" s="6" t="s">
        <v>383</v>
      </c>
      <c r="D2448" s="6" t="s">
        <v>251</v>
      </c>
      <c r="E2448" s="6" t="s">
        <v>37</v>
      </c>
      <c r="F2448" s="6" t="s">
        <v>384</v>
      </c>
      <c r="G2448" s="6" t="s">
        <v>385</v>
      </c>
      <c r="H2448" s="6" t="s">
        <v>386</v>
      </c>
      <c r="I2448" s="6" t="s">
        <v>213</v>
      </c>
      <c r="J2448" s="6">
        <v>16.384333732196001</v>
      </c>
      <c r="K2448" s="6">
        <v>-96.836123621488994</v>
      </c>
      <c r="L2448" s="6" t="str">
        <f>HYPERLINK("https://maps.google.com/?q=16.384333732195685,-96.836123621489293", "🔗 Ver Mapa")</f>
        <v>🔗 Ver Mapa</v>
      </c>
    </row>
    <row r="2449" spans="1:12" ht="43.5" x14ac:dyDescent="0.35">
      <c r="A2449" s="5" t="s">
        <v>206</v>
      </c>
      <c r="B2449" s="5" t="s">
        <v>207</v>
      </c>
      <c r="C2449" s="5" t="s">
        <v>383</v>
      </c>
      <c r="D2449" s="5" t="s">
        <v>251</v>
      </c>
      <c r="E2449" s="5" t="s">
        <v>37</v>
      </c>
      <c r="F2449" s="5" t="s">
        <v>384</v>
      </c>
      <c r="G2449" s="5" t="s">
        <v>385</v>
      </c>
      <c r="H2449" s="5" t="s">
        <v>386</v>
      </c>
      <c r="I2449" s="5" t="s">
        <v>213</v>
      </c>
      <c r="J2449" s="5">
        <v>16.384350337741001</v>
      </c>
      <c r="K2449" s="5">
        <v>-96.843638216748005</v>
      </c>
      <c r="L2449" s="5" t="str">
        <f>HYPERLINK("https://maps.google.com/?q=16.384350337740905,-96.843638216748033", "🔗 Ver Mapa")</f>
        <v>🔗 Ver Mapa</v>
      </c>
    </row>
    <row r="2450" spans="1:12" ht="43.5" x14ac:dyDescent="0.35">
      <c r="A2450" s="6" t="s">
        <v>206</v>
      </c>
      <c r="B2450" s="6" t="s">
        <v>207</v>
      </c>
      <c r="C2450" s="6" t="s">
        <v>383</v>
      </c>
      <c r="D2450" s="6" t="s">
        <v>251</v>
      </c>
      <c r="E2450" s="6" t="s">
        <v>37</v>
      </c>
      <c r="F2450" s="6" t="s">
        <v>384</v>
      </c>
      <c r="G2450" s="6" t="s">
        <v>385</v>
      </c>
      <c r="H2450" s="6" t="s">
        <v>386</v>
      </c>
      <c r="I2450" s="6" t="s">
        <v>213</v>
      </c>
      <c r="J2450" s="6">
        <v>16.384357862601</v>
      </c>
      <c r="K2450" s="6">
        <v>-96.843808187513005</v>
      </c>
      <c r="L2450" s="6" t="str">
        <f>HYPERLINK("https://maps.google.com/?q=16.384357862600808,-96.843808187513062", "🔗 Ver Mapa")</f>
        <v>🔗 Ver Mapa</v>
      </c>
    </row>
    <row r="2451" spans="1:12" ht="43.5" x14ac:dyDescent="0.35">
      <c r="A2451" s="5" t="s">
        <v>206</v>
      </c>
      <c r="B2451" s="5" t="s">
        <v>207</v>
      </c>
      <c r="C2451" s="5" t="s">
        <v>383</v>
      </c>
      <c r="D2451" s="5" t="s">
        <v>251</v>
      </c>
      <c r="E2451" s="5" t="s">
        <v>37</v>
      </c>
      <c r="F2451" s="5" t="s">
        <v>384</v>
      </c>
      <c r="G2451" s="5" t="s">
        <v>385</v>
      </c>
      <c r="H2451" s="5" t="s">
        <v>386</v>
      </c>
      <c r="I2451" s="5" t="s">
        <v>213</v>
      </c>
      <c r="J2451" s="5">
        <v>16.384363650706</v>
      </c>
      <c r="K2451" s="5">
        <v>-96.843428989575997</v>
      </c>
      <c r="L2451" s="5" t="str">
        <f>HYPERLINK("https://maps.google.com/?q=16.384363650705733,-96.843428989576054", "🔗 Ver Mapa")</f>
        <v>🔗 Ver Mapa</v>
      </c>
    </row>
    <row r="2452" spans="1:12" ht="43.5" x14ac:dyDescent="0.35">
      <c r="A2452" s="6" t="s">
        <v>206</v>
      </c>
      <c r="B2452" s="6" t="s">
        <v>207</v>
      </c>
      <c r="C2452" s="6" t="s">
        <v>383</v>
      </c>
      <c r="D2452" s="6" t="s">
        <v>251</v>
      </c>
      <c r="E2452" s="6" t="s">
        <v>37</v>
      </c>
      <c r="F2452" s="6" t="s">
        <v>384</v>
      </c>
      <c r="G2452" s="6" t="s">
        <v>385</v>
      </c>
      <c r="H2452" s="6" t="s">
        <v>386</v>
      </c>
      <c r="I2452" s="6" t="s">
        <v>213</v>
      </c>
      <c r="J2452" s="6">
        <v>16.384375507849999</v>
      </c>
      <c r="K2452" s="6">
        <v>-96.843520980022006</v>
      </c>
      <c r="L2452" s="6" t="str">
        <f>HYPERLINK("https://maps.google.com/?q=16.38437550784957,-96.843520980022006", "🔗 Ver Mapa")</f>
        <v>🔗 Ver Mapa</v>
      </c>
    </row>
    <row r="2453" spans="1:12" ht="43.5" x14ac:dyDescent="0.35">
      <c r="A2453" s="5" t="s">
        <v>206</v>
      </c>
      <c r="B2453" s="5" t="s">
        <v>207</v>
      </c>
      <c r="C2453" s="5" t="s">
        <v>383</v>
      </c>
      <c r="D2453" s="5" t="s">
        <v>251</v>
      </c>
      <c r="E2453" s="5" t="s">
        <v>37</v>
      </c>
      <c r="F2453" s="5" t="s">
        <v>384</v>
      </c>
      <c r="G2453" s="5" t="s">
        <v>385</v>
      </c>
      <c r="H2453" s="5" t="s">
        <v>386</v>
      </c>
      <c r="I2453" s="5" t="s">
        <v>213</v>
      </c>
      <c r="J2453" s="5">
        <v>16.384413788503998</v>
      </c>
      <c r="K2453" s="5">
        <v>-96.843640008121994</v>
      </c>
      <c r="L2453" s="5" t="str">
        <f>HYPERLINK("https://maps.google.com/?q=16.384413788504204,-96.843640008121795", "🔗 Ver Mapa")</f>
        <v>🔗 Ver Mapa</v>
      </c>
    </row>
    <row r="2454" spans="1:12" ht="43.5" x14ac:dyDescent="0.35">
      <c r="A2454" s="6" t="s">
        <v>206</v>
      </c>
      <c r="B2454" s="6" t="s">
        <v>207</v>
      </c>
      <c r="C2454" s="6" t="s">
        <v>383</v>
      </c>
      <c r="D2454" s="6" t="s">
        <v>251</v>
      </c>
      <c r="E2454" s="6" t="s">
        <v>37</v>
      </c>
      <c r="F2454" s="6" t="s">
        <v>384</v>
      </c>
      <c r="G2454" s="6" t="s">
        <v>385</v>
      </c>
      <c r="H2454" s="6" t="s">
        <v>386</v>
      </c>
      <c r="I2454" s="6" t="s">
        <v>213</v>
      </c>
      <c r="J2454" s="6">
        <v>16.384435583887001</v>
      </c>
      <c r="K2454" s="6">
        <v>-96.843933819775998</v>
      </c>
      <c r="L2454" s="6" t="str">
        <f>HYPERLINK("https://maps.google.com/?q=16.384435583886717,-96.843933819775827", "🔗 Ver Mapa")</f>
        <v>🔗 Ver Mapa</v>
      </c>
    </row>
    <row r="2455" spans="1:12" ht="43.5" x14ac:dyDescent="0.35">
      <c r="A2455" s="5" t="s">
        <v>206</v>
      </c>
      <c r="B2455" s="5" t="s">
        <v>207</v>
      </c>
      <c r="C2455" s="5" t="s">
        <v>383</v>
      </c>
      <c r="D2455" s="5" t="s">
        <v>251</v>
      </c>
      <c r="E2455" s="5" t="s">
        <v>37</v>
      </c>
      <c r="F2455" s="5" t="s">
        <v>384</v>
      </c>
      <c r="G2455" s="5" t="s">
        <v>385</v>
      </c>
      <c r="H2455" s="5" t="s">
        <v>386</v>
      </c>
      <c r="I2455" s="5" t="s">
        <v>213</v>
      </c>
      <c r="J2455" s="5">
        <v>16.384436196477999</v>
      </c>
      <c r="K2455" s="5">
        <v>-96.842267802818995</v>
      </c>
      <c r="L2455" s="5" t="str">
        <f>HYPERLINK("https://maps.google.com/?q=16.384436196477793,-96.842267802819379", "🔗 Ver Mapa")</f>
        <v>🔗 Ver Mapa</v>
      </c>
    </row>
    <row r="2456" spans="1:12" ht="43.5" x14ac:dyDescent="0.35">
      <c r="A2456" s="6" t="s">
        <v>206</v>
      </c>
      <c r="B2456" s="6" t="s">
        <v>207</v>
      </c>
      <c r="C2456" s="6" t="s">
        <v>383</v>
      </c>
      <c r="D2456" s="6" t="s">
        <v>251</v>
      </c>
      <c r="E2456" s="6" t="s">
        <v>37</v>
      </c>
      <c r="F2456" s="6" t="s">
        <v>384</v>
      </c>
      <c r="G2456" s="6" t="s">
        <v>385</v>
      </c>
      <c r="H2456" s="6" t="s">
        <v>386</v>
      </c>
      <c r="I2456" s="6" t="s">
        <v>213</v>
      </c>
      <c r="J2456" s="6">
        <v>16.384443757902002</v>
      </c>
      <c r="K2456" s="6">
        <v>-96.836997688056996</v>
      </c>
      <c r="L2456" s="6" t="str">
        <f>HYPERLINK("https://maps.google.com/?q=16.384443757902112,-96.836997688056698", "🔗 Ver Mapa")</f>
        <v>🔗 Ver Mapa</v>
      </c>
    </row>
    <row r="2457" spans="1:12" ht="43.5" x14ac:dyDescent="0.35">
      <c r="A2457" s="5" t="s">
        <v>206</v>
      </c>
      <c r="B2457" s="5" t="s">
        <v>207</v>
      </c>
      <c r="C2457" s="5" t="s">
        <v>383</v>
      </c>
      <c r="D2457" s="5" t="s">
        <v>251</v>
      </c>
      <c r="E2457" s="5" t="s">
        <v>37</v>
      </c>
      <c r="F2457" s="5" t="s">
        <v>384</v>
      </c>
      <c r="G2457" s="5" t="s">
        <v>385</v>
      </c>
      <c r="H2457" s="5" t="s">
        <v>386</v>
      </c>
      <c r="I2457" s="5" t="s">
        <v>213</v>
      </c>
      <c r="J2457" s="5">
        <v>16.384451121521</v>
      </c>
      <c r="K2457" s="5">
        <v>-96.844064057636004</v>
      </c>
      <c r="L2457" s="5" t="str">
        <f>HYPERLINK("https://maps.google.com/?q=16.384451121521444,-96.844064057636444", "🔗 Ver Mapa")</f>
        <v>🔗 Ver Mapa</v>
      </c>
    </row>
    <row r="2458" spans="1:12" ht="43.5" x14ac:dyDescent="0.35">
      <c r="A2458" s="6" t="s">
        <v>206</v>
      </c>
      <c r="B2458" s="6" t="s">
        <v>207</v>
      </c>
      <c r="C2458" s="6" t="s">
        <v>383</v>
      </c>
      <c r="D2458" s="6" t="s">
        <v>251</v>
      </c>
      <c r="E2458" s="6" t="s">
        <v>37</v>
      </c>
      <c r="F2458" s="6" t="s">
        <v>384</v>
      </c>
      <c r="G2458" s="6" t="s">
        <v>385</v>
      </c>
      <c r="H2458" s="6" t="s">
        <v>386</v>
      </c>
      <c r="I2458" s="6" t="s">
        <v>213</v>
      </c>
      <c r="J2458" s="6">
        <v>16.384451855169999</v>
      </c>
      <c r="K2458" s="6">
        <v>-96.839656829066001</v>
      </c>
      <c r="L2458" s="6" t="str">
        <f>HYPERLINK("https://maps.google.com/?q=16.384451855170198,-96.839656829065618", "🔗 Ver Mapa")</f>
        <v>🔗 Ver Mapa</v>
      </c>
    </row>
    <row r="2459" spans="1:12" ht="43.5" x14ac:dyDescent="0.35">
      <c r="A2459" s="5" t="s">
        <v>206</v>
      </c>
      <c r="B2459" s="5" t="s">
        <v>207</v>
      </c>
      <c r="C2459" s="5" t="s">
        <v>383</v>
      </c>
      <c r="D2459" s="5" t="s">
        <v>251</v>
      </c>
      <c r="E2459" s="5" t="s">
        <v>37</v>
      </c>
      <c r="F2459" s="5" t="s">
        <v>384</v>
      </c>
      <c r="G2459" s="5" t="s">
        <v>385</v>
      </c>
      <c r="H2459" s="5" t="s">
        <v>386</v>
      </c>
      <c r="I2459" s="5" t="s">
        <v>213</v>
      </c>
      <c r="J2459" s="5">
        <v>16.384465800040999</v>
      </c>
      <c r="K2459" s="5">
        <v>-96.840147209368993</v>
      </c>
      <c r="L2459" s="5" t="str">
        <f>HYPERLINK("https://maps.google.com/?q=16.384465800041333,-96.840147209369121", "🔗 Ver Mapa")</f>
        <v>🔗 Ver Mapa</v>
      </c>
    </row>
    <row r="2460" spans="1:12" ht="43.5" x14ac:dyDescent="0.35">
      <c r="A2460" s="6" t="s">
        <v>206</v>
      </c>
      <c r="B2460" s="6" t="s">
        <v>207</v>
      </c>
      <c r="C2460" s="6" t="s">
        <v>383</v>
      </c>
      <c r="D2460" s="6" t="s">
        <v>251</v>
      </c>
      <c r="E2460" s="6" t="s">
        <v>37</v>
      </c>
      <c r="F2460" s="6" t="s">
        <v>384</v>
      </c>
      <c r="G2460" s="6" t="s">
        <v>385</v>
      </c>
      <c r="H2460" s="6" t="s">
        <v>386</v>
      </c>
      <c r="I2460" s="6" t="s">
        <v>213</v>
      </c>
      <c r="J2460" s="6">
        <v>16.384487471583999</v>
      </c>
      <c r="K2460" s="6">
        <v>-96.836012704563998</v>
      </c>
      <c r="L2460" s="6" t="str">
        <f>HYPERLINK("https://maps.google.com/?q=16.38448747158448,-96.836012704563743", "🔗 Ver Mapa")</f>
        <v>🔗 Ver Mapa</v>
      </c>
    </row>
    <row r="2461" spans="1:12" ht="43.5" x14ac:dyDescent="0.35">
      <c r="A2461" s="5" t="s">
        <v>206</v>
      </c>
      <c r="B2461" s="5" t="s">
        <v>207</v>
      </c>
      <c r="C2461" s="5" t="s">
        <v>383</v>
      </c>
      <c r="D2461" s="5" t="s">
        <v>251</v>
      </c>
      <c r="E2461" s="5" t="s">
        <v>37</v>
      </c>
      <c r="F2461" s="5" t="s">
        <v>384</v>
      </c>
      <c r="G2461" s="5" t="s">
        <v>385</v>
      </c>
      <c r="H2461" s="5" t="s">
        <v>386</v>
      </c>
      <c r="I2461" s="5" t="s">
        <v>213</v>
      </c>
      <c r="J2461" s="5">
        <v>16.384507971676001</v>
      </c>
      <c r="K2461" s="5">
        <v>-96.843285499819004</v>
      </c>
      <c r="L2461" s="5" t="str">
        <f>HYPERLINK("https://maps.google.com/?q=16.384507971675973,-96.843285499819245", "🔗 Ver Mapa")</f>
        <v>🔗 Ver Mapa</v>
      </c>
    </row>
    <row r="2462" spans="1:12" ht="43.5" x14ac:dyDescent="0.35">
      <c r="A2462" s="6" t="s">
        <v>206</v>
      </c>
      <c r="B2462" s="6" t="s">
        <v>207</v>
      </c>
      <c r="C2462" s="6" t="s">
        <v>383</v>
      </c>
      <c r="D2462" s="6" t="s">
        <v>251</v>
      </c>
      <c r="E2462" s="6" t="s">
        <v>37</v>
      </c>
      <c r="F2462" s="6" t="s">
        <v>384</v>
      </c>
      <c r="G2462" s="6" t="s">
        <v>385</v>
      </c>
      <c r="H2462" s="6" t="s">
        <v>386</v>
      </c>
      <c r="I2462" s="6" t="s">
        <v>213</v>
      </c>
      <c r="J2462" s="6">
        <v>16.384523112591001</v>
      </c>
      <c r="K2462" s="6">
        <v>-96.844095180015003</v>
      </c>
      <c r="L2462" s="6" t="str">
        <f>HYPERLINK("https://maps.google.com/?q=16.38452311259097,-96.844095180015245", "🔗 Ver Mapa")</f>
        <v>🔗 Ver Mapa</v>
      </c>
    </row>
    <row r="2463" spans="1:12" ht="43.5" x14ac:dyDescent="0.35">
      <c r="A2463" s="5" t="s">
        <v>206</v>
      </c>
      <c r="B2463" s="5" t="s">
        <v>207</v>
      </c>
      <c r="C2463" s="5" t="s">
        <v>383</v>
      </c>
      <c r="D2463" s="5" t="s">
        <v>251</v>
      </c>
      <c r="E2463" s="5" t="s">
        <v>37</v>
      </c>
      <c r="F2463" s="5" t="s">
        <v>384</v>
      </c>
      <c r="G2463" s="5" t="s">
        <v>385</v>
      </c>
      <c r="H2463" s="5" t="s">
        <v>386</v>
      </c>
      <c r="I2463" s="5" t="s">
        <v>213</v>
      </c>
      <c r="J2463" s="5">
        <v>16.384529638884</v>
      </c>
      <c r="K2463" s="5">
        <v>-96.842838199051002</v>
      </c>
      <c r="L2463" s="5" t="str">
        <f>HYPERLINK("https://maps.google.com/?q=16.38452963888395,-96.842838199051144", "🔗 Ver Mapa")</f>
        <v>🔗 Ver Mapa</v>
      </c>
    </row>
    <row r="2464" spans="1:12" ht="43.5" x14ac:dyDescent="0.35">
      <c r="A2464" s="6" t="s">
        <v>206</v>
      </c>
      <c r="B2464" s="6" t="s">
        <v>207</v>
      </c>
      <c r="C2464" s="6" t="s">
        <v>383</v>
      </c>
      <c r="D2464" s="6" t="s">
        <v>251</v>
      </c>
      <c r="E2464" s="6" t="s">
        <v>37</v>
      </c>
      <c r="F2464" s="6" t="s">
        <v>384</v>
      </c>
      <c r="G2464" s="6" t="s">
        <v>385</v>
      </c>
      <c r="H2464" s="6" t="s">
        <v>386</v>
      </c>
      <c r="I2464" s="6" t="s">
        <v>213</v>
      </c>
      <c r="J2464" s="6">
        <v>16.384550022557999</v>
      </c>
      <c r="K2464" s="6">
        <v>-96.843014514150994</v>
      </c>
      <c r="L2464" s="6" t="str">
        <f>HYPERLINK("https://maps.google.com/?q=16.384550022558184,-96.843014514151363", "🔗 Ver Mapa")</f>
        <v>🔗 Ver Mapa</v>
      </c>
    </row>
    <row r="2465" spans="1:12" ht="43.5" x14ac:dyDescent="0.35">
      <c r="A2465" s="5" t="s">
        <v>206</v>
      </c>
      <c r="B2465" s="5" t="s">
        <v>207</v>
      </c>
      <c r="C2465" s="5" t="s">
        <v>383</v>
      </c>
      <c r="D2465" s="5" t="s">
        <v>251</v>
      </c>
      <c r="E2465" s="5" t="s">
        <v>37</v>
      </c>
      <c r="F2465" s="5" t="s">
        <v>384</v>
      </c>
      <c r="G2465" s="5" t="s">
        <v>385</v>
      </c>
      <c r="H2465" s="5" t="s">
        <v>386</v>
      </c>
      <c r="I2465" s="5" t="s">
        <v>213</v>
      </c>
      <c r="J2465" s="5">
        <v>16.384553327216999</v>
      </c>
      <c r="K2465" s="5">
        <v>-96.836928906772002</v>
      </c>
      <c r="L2465" s="5" t="str">
        <f>HYPERLINK("https://maps.google.com/?q=16.38455332721679,-96.836928906771945", "🔗 Ver Mapa")</f>
        <v>🔗 Ver Mapa</v>
      </c>
    </row>
    <row r="2466" spans="1:12" ht="43.5" x14ac:dyDescent="0.35">
      <c r="A2466" s="6" t="s">
        <v>206</v>
      </c>
      <c r="B2466" s="6" t="s">
        <v>207</v>
      </c>
      <c r="C2466" s="6" t="s">
        <v>383</v>
      </c>
      <c r="D2466" s="6" t="s">
        <v>251</v>
      </c>
      <c r="E2466" s="6" t="s">
        <v>37</v>
      </c>
      <c r="F2466" s="6" t="s">
        <v>384</v>
      </c>
      <c r="G2466" s="6" t="s">
        <v>385</v>
      </c>
      <c r="H2466" s="6" t="s">
        <v>386</v>
      </c>
      <c r="I2466" s="6" t="s">
        <v>213</v>
      </c>
      <c r="J2466" s="6">
        <v>16.384563523072998</v>
      </c>
      <c r="K2466" s="6">
        <v>-96.844042032980994</v>
      </c>
      <c r="L2466" s="6" t="str">
        <f>HYPERLINK("https://maps.google.com/?q=16.384563523073364,-96.844042032981235", "🔗 Ver Mapa")</f>
        <v>🔗 Ver Mapa</v>
      </c>
    </row>
    <row r="2467" spans="1:12" ht="43.5" x14ac:dyDescent="0.35">
      <c r="A2467" s="5" t="s">
        <v>206</v>
      </c>
      <c r="B2467" s="5" t="s">
        <v>207</v>
      </c>
      <c r="C2467" s="5" t="s">
        <v>383</v>
      </c>
      <c r="D2467" s="5" t="s">
        <v>251</v>
      </c>
      <c r="E2467" s="5" t="s">
        <v>37</v>
      </c>
      <c r="F2467" s="5" t="s">
        <v>384</v>
      </c>
      <c r="G2467" s="5" t="s">
        <v>385</v>
      </c>
      <c r="H2467" s="5" t="s">
        <v>386</v>
      </c>
      <c r="I2467" s="5" t="s">
        <v>213</v>
      </c>
      <c r="J2467" s="5">
        <v>16.384581587511999</v>
      </c>
      <c r="K2467" s="5">
        <v>-96.843790508319003</v>
      </c>
      <c r="L2467" s="5" t="str">
        <f>HYPERLINK("https://maps.google.com/?q=16.38458158751225,-96.843790508318904", "🔗 Ver Mapa")</f>
        <v>🔗 Ver Mapa</v>
      </c>
    </row>
    <row r="2468" spans="1:12" ht="43.5" x14ac:dyDescent="0.35">
      <c r="A2468" s="6" t="s">
        <v>206</v>
      </c>
      <c r="B2468" s="6" t="s">
        <v>207</v>
      </c>
      <c r="C2468" s="6" t="s">
        <v>383</v>
      </c>
      <c r="D2468" s="6" t="s">
        <v>251</v>
      </c>
      <c r="E2468" s="6" t="s">
        <v>37</v>
      </c>
      <c r="F2468" s="6" t="s">
        <v>384</v>
      </c>
      <c r="G2468" s="6" t="s">
        <v>385</v>
      </c>
      <c r="H2468" s="6" t="s">
        <v>386</v>
      </c>
      <c r="I2468" s="6" t="s">
        <v>213</v>
      </c>
      <c r="J2468" s="6">
        <v>16.384609799296999</v>
      </c>
      <c r="K2468" s="6">
        <v>-96.842686299326004</v>
      </c>
      <c r="L2468" s="6" t="str">
        <f>HYPERLINK("https://maps.google.com/?q=16.384609799297184,-96.842686299326203", "🔗 Ver Mapa")</f>
        <v>🔗 Ver Mapa</v>
      </c>
    </row>
    <row r="2469" spans="1:12" ht="43.5" x14ac:dyDescent="0.35">
      <c r="A2469" s="5" t="s">
        <v>206</v>
      </c>
      <c r="B2469" s="5" t="s">
        <v>207</v>
      </c>
      <c r="C2469" s="5" t="s">
        <v>383</v>
      </c>
      <c r="D2469" s="5" t="s">
        <v>251</v>
      </c>
      <c r="E2469" s="5" t="s">
        <v>37</v>
      </c>
      <c r="F2469" s="5" t="s">
        <v>384</v>
      </c>
      <c r="G2469" s="5" t="s">
        <v>385</v>
      </c>
      <c r="H2469" s="5" t="s">
        <v>386</v>
      </c>
      <c r="I2469" s="5" t="s">
        <v>213</v>
      </c>
      <c r="J2469" s="5">
        <v>16.384611067605999</v>
      </c>
      <c r="K2469" s="5">
        <v>-96.842440919539996</v>
      </c>
      <c r="L2469" s="5" t="str">
        <f>HYPERLINK("https://maps.google.com/?q=16.384611067606137,-96.842440919540067", "🔗 Ver Mapa")</f>
        <v>🔗 Ver Mapa</v>
      </c>
    </row>
    <row r="2470" spans="1:12" ht="43.5" x14ac:dyDescent="0.35">
      <c r="A2470" s="6" t="s">
        <v>206</v>
      </c>
      <c r="B2470" s="6" t="s">
        <v>207</v>
      </c>
      <c r="C2470" s="6" t="s">
        <v>383</v>
      </c>
      <c r="D2470" s="6" t="s">
        <v>251</v>
      </c>
      <c r="E2470" s="6" t="s">
        <v>37</v>
      </c>
      <c r="F2470" s="6" t="s">
        <v>384</v>
      </c>
      <c r="G2470" s="6" t="s">
        <v>385</v>
      </c>
      <c r="H2470" s="6" t="s">
        <v>386</v>
      </c>
      <c r="I2470" s="6" t="s">
        <v>213</v>
      </c>
      <c r="J2470" s="6">
        <v>16.384625140171</v>
      </c>
      <c r="K2470" s="6">
        <v>-96.841428070497003</v>
      </c>
      <c r="L2470" s="6" t="str">
        <f>HYPERLINK("https://maps.google.com/?q=16.384625140170847,-96.841428070497301", "🔗 Ver Mapa")</f>
        <v>🔗 Ver Mapa</v>
      </c>
    </row>
    <row r="2471" spans="1:12" ht="43.5" x14ac:dyDescent="0.35">
      <c r="A2471" s="5" t="s">
        <v>206</v>
      </c>
      <c r="B2471" s="5" t="s">
        <v>207</v>
      </c>
      <c r="C2471" s="5" t="s">
        <v>383</v>
      </c>
      <c r="D2471" s="5" t="s">
        <v>251</v>
      </c>
      <c r="E2471" s="5" t="s">
        <v>37</v>
      </c>
      <c r="F2471" s="5" t="s">
        <v>384</v>
      </c>
      <c r="G2471" s="5" t="s">
        <v>385</v>
      </c>
      <c r="H2471" s="5" t="s">
        <v>386</v>
      </c>
      <c r="I2471" s="5" t="s">
        <v>213</v>
      </c>
      <c r="J2471" s="5">
        <v>16.384632299619</v>
      </c>
      <c r="K2471" s="5">
        <v>-96.840834993756999</v>
      </c>
      <c r="L2471" s="5" t="str">
        <f>HYPERLINK("https://maps.google.com/?q=16.38463229961944,-96.840834993757042", "🔗 Ver Mapa")</f>
        <v>🔗 Ver Mapa</v>
      </c>
    </row>
    <row r="2472" spans="1:12" ht="43.5" x14ac:dyDescent="0.35">
      <c r="A2472" s="6" t="s">
        <v>206</v>
      </c>
      <c r="B2472" s="6" t="s">
        <v>207</v>
      </c>
      <c r="C2472" s="6" t="s">
        <v>383</v>
      </c>
      <c r="D2472" s="6" t="s">
        <v>251</v>
      </c>
      <c r="E2472" s="6" t="s">
        <v>37</v>
      </c>
      <c r="F2472" s="6" t="s">
        <v>384</v>
      </c>
      <c r="G2472" s="6" t="s">
        <v>385</v>
      </c>
      <c r="H2472" s="6" t="s">
        <v>386</v>
      </c>
      <c r="I2472" s="6" t="s">
        <v>213</v>
      </c>
      <c r="J2472" s="6">
        <v>16.384681934825998</v>
      </c>
      <c r="K2472" s="6">
        <v>-96.845051808868007</v>
      </c>
      <c r="L2472" s="6" t="str">
        <f>HYPERLINK("https://maps.google.com/?q=16.384681934826492,-96.845051808868362", "🔗 Ver Mapa")</f>
        <v>🔗 Ver Mapa</v>
      </c>
    </row>
    <row r="2473" spans="1:12" ht="43.5" x14ac:dyDescent="0.35">
      <c r="A2473" s="5" t="s">
        <v>206</v>
      </c>
      <c r="B2473" s="5" t="s">
        <v>207</v>
      </c>
      <c r="C2473" s="5" t="s">
        <v>383</v>
      </c>
      <c r="D2473" s="5" t="s">
        <v>251</v>
      </c>
      <c r="E2473" s="5" t="s">
        <v>37</v>
      </c>
      <c r="F2473" s="5" t="s">
        <v>384</v>
      </c>
      <c r="G2473" s="5" t="s">
        <v>385</v>
      </c>
      <c r="H2473" s="5" t="s">
        <v>386</v>
      </c>
      <c r="I2473" s="5" t="s">
        <v>213</v>
      </c>
      <c r="J2473" s="5">
        <v>16.38469127015</v>
      </c>
      <c r="K2473" s="5">
        <v>-96.837425470840003</v>
      </c>
      <c r="L2473" s="5" t="str">
        <f>HYPERLINK("https://maps.google.com/?q=16.384691270149617,-96.83742547083969", "🔗 Ver Mapa")</f>
        <v>🔗 Ver Mapa</v>
      </c>
    </row>
    <row r="2474" spans="1:12" ht="43.5" x14ac:dyDescent="0.35">
      <c r="A2474" s="6" t="s">
        <v>206</v>
      </c>
      <c r="B2474" s="6" t="s">
        <v>207</v>
      </c>
      <c r="C2474" s="6" t="s">
        <v>383</v>
      </c>
      <c r="D2474" s="6" t="s">
        <v>251</v>
      </c>
      <c r="E2474" s="6" t="s">
        <v>37</v>
      </c>
      <c r="F2474" s="6" t="s">
        <v>384</v>
      </c>
      <c r="G2474" s="6" t="s">
        <v>385</v>
      </c>
      <c r="H2474" s="6" t="s">
        <v>386</v>
      </c>
      <c r="I2474" s="6" t="s">
        <v>213</v>
      </c>
      <c r="J2474" s="6">
        <v>16.384705705443999</v>
      </c>
      <c r="K2474" s="6">
        <v>-96.842927951625001</v>
      </c>
      <c r="L2474" s="6" t="str">
        <f>HYPERLINK("https://maps.google.com/?q=16.384705705444002,-96.842927951625441", "🔗 Ver Mapa")</f>
        <v>🔗 Ver Mapa</v>
      </c>
    </row>
    <row r="2475" spans="1:12" ht="43.5" x14ac:dyDescent="0.35">
      <c r="A2475" s="5" t="s">
        <v>206</v>
      </c>
      <c r="B2475" s="5" t="s">
        <v>207</v>
      </c>
      <c r="C2475" s="5" t="s">
        <v>383</v>
      </c>
      <c r="D2475" s="5" t="s">
        <v>251</v>
      </c>
      <c r="E2475" s="5" t="s">
        <v>37</v>
      </c>
      <c r="F2475" s="5" t="s">
        <v>384</v>
      </c>
      <c r="G2475" s="5" t="s">
        <v>385</v>
      </c>
      <c r="H2475" s="5" t="s">
        <v>386</v>
      </c>
      <c r="I2475" s="5" t="s">
        <v>213</v>
      </c>
      <c r="J2475" s="5">
        <v>16.384735488551001</v>
      </c>
      <c r="K2475" s="5">
        <v>-96.839914510520998</v>
      </c>
      <c r="L2475" s="5" t="str">
        <f>HYPERLINK("https://maps.google.com/?q=16.384735488551087,-96.83991451052097", "🔗 Ver Mapa")</f>
        <v>🔗 Ver Mapa</v>
      </c>
    </row>
    <row r="2476" spans="1:12" ht="43.5" x14ac:dyDescent="0.35">
      <c r="A2476" s="6" t="s">
        <v>206</v>
      </c>
      <c r="B2476" s="6" t="s">
        <v>207</v>
      </c>
      <c r="C2476" s="6" t="s">
        <v>383</v>
      </c>
      <c r="D2476" s="6" t="s">
        <v>251</v>
      </c>
      <c r="E2476" s="6" t="s">
        <v>37</v>
      </c>
      <c r="F2476" s="6" t="s">
        <v>384</v>
      </c>
      <c r="G2476" s="6" t="s">
        <v>385</v>
      </c>
      <c r="H2476" s="6" t="s">
        <v>386</v>
      </c>
      <c r="I2476" s="6" t="s">
        <v>213</v>
      </c>
      <c r="J2476" s="6">
        <v>16.384740674362</v>
      </c>
      <c r="K2476" s="6">
        <v>-96.844193686634</v>
      </c>
      <c r="L2476" s="6" t="str">
        <f>HYPERLINK("https://maps.google.com/?q=16.38474067436168,-96.8441936866341", "🔗 Ver Mapa")</f>
        <v>🔗 Ver Mapa</v>
      </c>
    </row>
    <row r="2477" spans="1:12" ht="43.5" x14ac:dyDescent="0.35">
      <c r="A2477" s="5" t="s">
        <v>206</v>
      </c>
      <c r="B2477" s="5" t="s">
        <v>207</v>
      </c>
      <c r="C2477" s="5" t="s">
        <v>383</v>
      </c>
      <c r="D2477" s="5" t="s">
        <v>251</v>
      </c>
      <c r="E2477" s="5" t="s">
        <v>37</v>
      </c>
      <c r="F2477" s="5" t="s">
        <v>384</v>
      </c>
      <c r="G2477" s="5" t="s">
        <v>385</v>
      </c>
      <c r="H2477" s="5" t="s">
        <v>386</v>
      </c>
      <c r="I2477" s="5" t="s">
        <v>213</v>
      </c>
      <c r="J2477" s="5">
        <v>16.384757616238002</v>
      </c>
      <c r="K2477" s="5">
        <v>-96.837388154343003</v>
      </c>
      <c r="L2477" s="5" t="str">
        <f>HYPERLINK("https://maps.google.com/?q=16.384757616238158,-96.837388154342619", "🔗 Ver Mapa")</f>
        <v>🔗 Ver Mapa</v>
      </c>
    </row>
    <row r="2478" spans="1:12" ht="43.5" x14ac:dyDescent="0.35">
      <c r="A2478" s="6" t="s">
        <v>206</v>
      </c>
      <c r="B2478" s="6" t="s">
        <v>207</v>
      </c>
      <c r="C2478" s="6" t="s">
        <v>383</v>
      </c>
      <c r="D2478" s="6" t="s">
        <v>251</v>
      </c>
      <c r="E2478" s="6" t="s">
        <v>37</v>
      </c>
      <c r="F2478" s="6" t="s">
        <v>384</v>
      </c>
      <c r="G2478" s="6" t="s">
        <v>385</v>
      </c>
      <c r="H2478" s="6" t="s">
        <v>386</v>
      </c>
      <c r="I2478" s="6" t="s">
        <v>213</v>
      </c>
      <c r="J2478" s="6">
        <v>16.384820283189999</v>
      </c>
      <c r="K2478" s="6">
        <v>-96.843778148742999</v>
      </c>
      <c r="L2478" s="6" t="str">
        <f>HYPERLINK("https://maps.google.com/?q=16.384820283190223,-96.843778148743056", "🔗 Ver Mapa")</f>
        <v>🔗 Ver Mapa</v>
      </c>
    </row>
    <row r="2479" spans="1:12" ht="43.5" x14ac:dyDescent="0.35">
      <c r="A2479" s="5" t="s">
        <v>206</v>
      </c>
      <c r="B2479" s="5" t="s">
        <v>207</v>
      </c>
      <c r="C2479" s="5" t="s">
        <v>383</v>
      </c>
      <c r="D2479" s="5" t="s">
        <v>251</v>
      </c>
      <c r="E2479" s="5" t="s">
        <v>37</v>
      </c>
      <c r="F2479" s="5" t="s">
        <v>384</v>
      </c>
      <c r="G2479" s="5" t="s">
        <v>385</v>
      </c>
      <c r="H2479" s="5" t="s">
        <v>386</v>
      </c>
      <c r="I2479" s="5" t="s">
        <v>213</v>
      </c>
      <c r="J2479" s="5">
        <v>16.384827098938</v>
      </c>
      <c r="K2479" s="5">
        <v>-96.836998716970001</v>
      </c>
      <c r="L2479" s="5" t="str">
        <f>HYPERLINK("https://maps.google.com/?q=16.384827098938466,-96.836998716970498", "🔗 Ver Mapa")</f>
        <v>🔗 Ver Mapa</v>
      </c>
    </row>
    <row r="2480" spans="1:12" ht="43.5" x14ac:dyDescent="0.35">
      <c r="A2480" s="6" t="s">
        <v>206</v>
      </c>
      <c r="B2480" s="6" t="s">
        <v>207</v>
      </c>
      <c r="C2480" s="6" t="s">
        <v>383</v>
      </c>
      <c r="D2480" s="6" t="s">
        <v>251</v>
      </c>
      <c r="E2480" s="6" t="s">
        <v>37</v>
      </c>
      <c r="F2480" s="6" t="s">
        <v>384</v>
      </c>
      <c r="G2480" s="6" t="s">
        <v>385</v>
      </c>
      <c r="H2480" s="6" t="s">
        <v>386</v>
      </c>
      <c r="I2480" s="6" t="s">
        <v>213</v>
      </c>
      <c r="J2480" s="6">
        <v>16.384852297555</v>
      </c>
      <c r="K2480" s="6">
        <v>-96.841421815559002</v>
      </c>
      <c r="L2480" s="6" t="str">
        <f>HYPERLINK("https://maps.google.com/?q=16.384852297555437,-96.841421815558647", "🔗 Ver Mapa")</f>
        <v>🔗 Ver Mapa</v>
      </c>
    </row>
    <row r="2481" spans="1:12" ht="43.5" x14ac:dyDescent="0.35">
      <c r="A2481" s="5" t="s">
        <v>206</v>
      </c>
      <c r="B2481" s="5" t="s">
        <v>207</v>
      </c>
      <c r="C2481" s="5" t="s">
        <v>383</v>
      </c>
      <c r="D2481" s="5" t="s">
        <v>251</v>
      </c>
      <c r="E2481" s="5" t="s">
        <v>37</v>
      </c>
      <c r="F2481" s="5" t="s">
        <v>384</v>
      </c>
      <c r="G2481" s="5" t="s">
        <v>385</v>
      </c>
      <c r="H2481" s="5" t="s">
        <v>386</v>
      </c>
      <c r="I2481" s="5" t="s">
        <v>213</v>
      </c>
      <c r="J2481" s="5">
        <v>16.384884186767</v>
      </c>
      <c r="K2481" s="5">
        <v>-96.844489520105</v>
      </c>
      <c r="L2481" s="5" t="str">
        <f>HYPERLINK("https://maps.google.com/?q=16.384884186766623,-96.844489520104588", "🔗 Ver Mapa")</f>
        <v>🔗 Ver Mapa</v>
      </c>
    </row>
    <row r="2482" spans="1:12" ht="43.5" x14ac:dyDescent="0.35">
      <c r="A2482" s="6" t="s">
        <v>206</v>
      </c>
      <c r="B2482" s="6" t="s">
        <v>207</v>
      </c>
      <c r="C2482" s="6" t="s">
        <v>383</v>
      </c>
      <c r="D2482" s="6" t="s">
        <v>251</v>
      </c>
      <c r="E2482" s="6" t="s">
        <v>37</v>
      </c>
      <c r="F2482" s="6" t="s">
        <v>384</v>
      </c>
      <c r="G2482" s="6" t="s">
        <v>385</v>
      </c>
      <c r="H2482" s="6" t="s">
        <v>386</v>
      </c>
      <c r="I2482" s="6" t="s">
        <v>213</v>
      </c>
      <c r="J2482" s="6">
        <v>16.384945835023998</v>
      </c>
      <c r="K2482" s="6">
        <v>-96.841480074854999</v>
      </c>
      <c r="L2482" s="6" t="str">
        <f>HYPERLINK("https://maps.google.com/?q=16.384945835023743,-96.841480074854843", "🔗 Ver Mapa")</f>
        <v>🔗 Ver Mapa</v>
      </c>
    </row>
    <row r="2483" spans="1:12" ht="43.5" x14ac:dyDescent="0.35">
      <c r="A2483" s="5" t="s">
        <v>206</v>
      </c>
      <c r="B2483" s="5" t="s">
        <v>207</v>
      </c>
      <c r="C2483" s="5" t="s">
        <v>383</v>
      </c>
      <c r="D2483" s="5" t="s">
        <v>251</v>
      </c>
      <c r="E2483" s="5" t="s">
        <v>37</v>
      </c>
      <c r="F2483" s="5" t="s">
        <v>384</v>
      </c>
      <c r="G2483" s="5" t="s">
        <v>385</v>
      </c>
      <c r="H2483" s="5" t="s">
        <v>386</v>
      </c>
      <c r="I2483" s="5" t="s">
        <v>213</v>
      </c>
      <c r="J2483" s="5">
        <v>16.384955151102002</v>
      </c>
      <c r="K2483" s="5">
        <v>-96.837079073447001</v>
      </c>
      <c r="L2483" s="5" t="str">
        <f>HYPERLINK("https://maps.google.com/?q=16.384955151101806,-96.83707907344666", "🔗 Ver Mapa")</f>
        <v>🔗 Ver Mapa</v>
      </c>
    </row>
    <row r="2484" spans="1:12" ht="43.5" x14ac:dyDescent="0.35">
      <c r="A2484" s="6" t="s">
        <v>206</v>
      </c>
      <c r="B2484" s="6" t="s">
        <v>207</v>
      </c>
      <c r="C2484" s="6" t="s">
        <v>383</v>
      </c>
      <c r="D2484" s="6" t="s">
        <v>251</v>
      </c>
      <c r="E2484" s="6" t="s">
        <v>37</v>
      </c>
      <c r="F2484" s="6" t="s">
        <v>384</v>
      </c>
      <c r="G2484" s="6" t="s">
        <v>385</v>
      </c>
      <c r="H2484" s="6" t="s">
        <v>386</v>
      </c>
      <c r="I2484" s="6" t="s">
        <v>213</v>
      </c>
      <c r="J2484" s="6">
        <v>16.385000663041001</v>
      </c>
      <c r="K2484" s="6">
        <v>-96.837713843174996</v>
      </c>
      <c r="L2484" s="6" t="str">
        <f>HYPERLINK("https://maps.google.com/?q=16.385000663040582,-96.837713843174996", "🔗 Ver Mapa")</f>
        <v>🔗 Ver Mapa</v>
      </c>
    </row>
    <row r="2485" spans="1:12" ht="43.5" x14ac:dyDescent="0.35">
      <c r="A2485" s="5" t="s">
        <v>206</v>
      </c>
      <c r="B2485" s="5" t="s">
        <v>207</v>
      </c>
      <c r="C2485" s="5" t="s">
        <v>383</v>
      </c>
      <c r="D2485" s="5" t="s">
        <v>251</v>
      </c>
      <c r="E2485" s="5" t="s">
        <v>37</v>
      </c>
      <c r="F2485" s="5" t="s">
        <v>384</v>
      </c>
      <c r="G2485" s="5" t="s">
        <v>385</v>
      </c>
      <c r="H2485" s="5" t="s">
        <v>386</v>
      </c>
      <c r="I2485" s="5" t="s">
        <v>213</v>
      </c>
      <c r="J2485" s="5">
        <v>16.385001361349001</v>
      </c>
      <c r="K2485" s="5">
        <v>-96.844782573914998</v>
      </c>
      <c r="L2485" s="5" t="str">
        <f>HYPERLINK("https://maps.google.com/?q=16.385001361348543,-96.844782573915168", "🔗 Ver Mapa")</f>
        <v>🔗 Ver Mapa</v>
      </c>
    </row>
    <row r="2486" spans="1:12" ht="43.5" x14ac:dyDescent="0.35">
      <c r="A2486" s="6" t="s">
        <v>206</v>
      </c>
      <c r="B2486" s="6" t="s">
        <v>207</v>
      </c>
      <c r="C2486" s="6" t="s">
        <v>383</v>
      </c>
      <c r="D2486" s="6" t="s">
        <v>251</v>
      </c>
      <c r="E2486" s="6" t="s">
        <v>37</v>
      </c>
      <c r="F2486" s="6" t="s">
        <v>384</v>
      </c>
      <c r="G2486" s="6" t="s">
        <v>385</v>
      </c>
      <c r="H2486" s="6" t="s">
        <v>386</v>
      </c>
      <c r="I2486" s="6" t="s">
        <v>213</v>
      </c>
      <c r="J2486" s="6">
        <v>16.385020067527002</v>
      </c>
      <c r="K2486" s="6">
        <v>-96.844964126945001</v>
      </c>
      <c r="L2486" s="6" t="str">
        <f>HYPERLINK("https://maps.google.com/?q=16.38502006752736,-96.844964126945356", "🔗 Ver Mapa")</f>
        <v>🔗 Ver Mapa</v>
      </c>
    </row>
    <row r="2487" spans="1:12" ht="43.5" x14ac:dyDescent="0.35">
      <c r="A2487" s="5" t="s">
        <v>206</v>
      </c>
      <c r="B2487" s="5" t="s">
        <v>207</v>
      </c>
      <c r="C2487" s="5" t="s">
        <v>383</v>
      </c>
      <c r="D2487" s="5" t="s">
        <v>251</v>
      </c>
      <c r="E2487" s="5" t="s">
        <v>37</v>
      </c>
      <c r="F2487" s="5" t="s">
        <v>384</v>
      </c>
      <c r="G2487" s="5" t="s">
        <v>385</v>
      </c>
      <c r="H2487" s="5" t="s">
        <v>386</v>
      </c>
      <c r="I2487" s="5" t="s">
        <v>213</v>
      </c>
      <c r="J2487" s="5">
        <v>16.385069577467</v>
      </c>
      <c r="K2487" s="5">
        <v>-96.839601071938006</v>
      </c>
      <c r="L2487" s="5" t="str">
        <f>HYPERLINK("https://maps.google.com/?q=16.385069577467075,-96.839601071937864", "🔗 Ver Mapa")</f>
        <v>🔗 Ver Mapa</v>
      </c>
    </row>
    <row r="2488" spans="1:12" ht="43.5" x14ac:dyDescent="0.35">
      <c r="A2488" s="6" t="s">
        <v>206</v>
      </c>
      <c r="B2488" s="6" t="s">
        <v>207</v>
      </c>
      <c r="C2488" s="6" t="s">
        <v>383</v>
      </c>
      <c r="D2488" s="6" t="s">
        <v>251</v>
      </c>
      <c r="E2488" s="6" t="s">
        <v>37</v>
      </c>
      <c r="F2488" s="6" t="s">
        <v>384</v>
      </c>
      <c r="G2488" s="6" t="s">
        <v>385</v>
      </c>
      <c r="H2488" s="6" t="s">
        <v>386</v>
      </c>
      <c r="I2488" s="6" t="s">
        <v>213</v>
      </c>
      <c r="J2488" s="6">
        <v>16.385103002219999</v>
      </c>
      <c r="K2488" s="6">
        <v>-96.839619206299005</v>
      </c>
      <c r="L2488" s="6" t="str">
        <f>HYPERLINK("https://maps.google.com/?q=16.385103002219964,-96.83961920629865", "🔗 Ver Mapa")</f>
        <v>🔗 Ver Mapa</v>
      </c>
    </row>
    <row r="2489" spans="1:12" ht="43.5" x14ac:dyDescent="0.35">
      <c r="A2489" s="5" t="s">
        <v>206</v>
      </c>
      <c r="B2489" s="5" t="s">
        <v>207</v>
      </c>
      <c r="C2489" s="5" t="s">
        <v>383</v>
      </c>
      <c r="D2489" s="5" t="s">
        <v>251</v>
      </c>
      <c r="E2489" s="5" t="s">
        <v>37</v>
      </c>
      <c r="F2489" s="5" t="s">
        <v>384</v>
      </c>
      <c r="G2489" s="5" t="s">
        <v>385</v>
      </c>
      <c r="H2489" s="5" t="s">
        <v>386</v>
      </c>
      <c r="I2489" s="5" t="s">
        <v>213</v>
      </c>
      <c r="J2489" s="5">
        <v>16.385124960401001</v>
      </c>
      <c r="K2489" s="5">
        <v>-96.839631028046</v>
      </c>
      <c r="L2489" s="5" t="str">
        <f>HYPERLINK("https://maps.google.com/?q=16.385124960401,-96.839631028045915", "🔗 Ver Mapa")</f>
        <v>🔗 Ver Mapa</v>
      </c>
    </row>
    <row r="2490" spans="1:12" ht="43.5" x14ac:dyDescent="0.35">
      <c r="A2490" s="6" t="s">
        <v>206</v>
      </c>
      <c r="B2490" s="6" t="s">
        <v>207</v>
      </c>
      <c r="C2490" s="6" t="s">
        <v>383</v>
      </c>
      <c r="D2490" s="6" t="s">
        <v>251</v>
      </c>
      <c r="E2490" s="6" t="s">
        <v>37</v>
      </c>
      <c r="F2490" s="6" t="s">
        <v>384</v>
      </c>
      <c r="G2490" s="6" t="s">
        <v>385</v>
      </c>
      <c r="H2490" s="6" t="s">
        <v>386</v>
      </c>
      <c r="I2490" s="6" t="s">
        <v>213</v>
      </c>
      <c r="J2490" s="6">
        <v>16.385125857818998</v>
      </c>
      <c r="K2490" s="6">
        <v>-96.837323912212995</v>
      </c>
      <c r="L2490" s="6" t="str">
        <f>HYPERLINK("https://maps.google.com/?q=16.385125857819112,-96.837323912212952", "🔗 Ver Mapa")</f>
        <v>🔗 Ver Mapa</v>
      </c>
    </row>
    <row r="2491" spans="1:12" ht="43.5" x14ac:dyDescent="0.35">
      <c r="A2491" s="5" t="s">
        <v>206</v>
      </c>
      <c r="B2491" s="5" t="s">
        <v>207</v>
      </c>
      <c r="C2491" s="5" t="s">
        <v>383</v>
      </c>
      <c r="D2491" s="5" t="s">
        <v>251</v>
      </c>
      <c r="E2491" s="5" t="s">
        <v>37</v>
      </c>
      <c r="F2491" s="5" t="s">
        <v>384</v>
      </c>
      <c r="G2491" s="5" t="s">
        <v>385</v>
      </c>
      <c r="H2491" s="5" t="s">
        <v>386</v>
      </c>
      <c r="I2491" s="5" t="s">
        <v>213</v>
      </c>
      <c r="J2491" s="5">
        <v>16.385185196405999</v>
      </c>
      <c r="K2491" s="5">
        <v>-96.839397295680996</v>
      </c>
      <c r="L2491" s="5" t="str">
        <f>HYPERLINK("https://maps.google.com/?q=16.385185196405622,-96.839397295681195", "🔗 Ver Mapa")</f>
        <v>🔗 Ver Mapa</v>
      </c>
    </row>
    <row r="2492" spans="1:12" ht="43.5" x14ac:dyDescent="0.35">
      <c r="A2492" s="6" t="s">
        <v>206</v>
      </c>
      <c r="B2492" s="6" t="s">
        <v>207</v>
      </c>
      <c r="C2492" s="6" t="s">
        <v>383</v>
      </c>
      <c r="D2492" s="6" t="s">
        <v>251</v>
      </c>
      <c r="E2492" s="6" t="s">
        <v>37</v>
      </c>
      <c r="F2492" s="6" t="s">
        <v>384</v>
      </c>
      <c r="G2492" s="6" t="s">
        <v>385</v>
      </c>
      <c r="H2492" s="6" t="s">
        <v>386</v>
      </c>
      <c r="I2492" s="6" t="s">
        <v>213</v>
      </c>
      <c r="J2492" s="6">
        <v>16.385185752043999</v>
      </c>
      <c r="K2492" s="6">
        <v>-96.842044839099003</v>
      </c>
      <c r="L2492" s="6" t="str">
        <f>HYPERLINK("https://maps.google.com/?q=16.38518575204434,-96.842044839098705", "🔗 Ver Mapa")</f>
        <v>🔗 Ver Mapa</v>
      </c>
    </row>
    <row r="2493" spans="1:12" ht="43.5" x14ac:dyDescent="0.35">
      <c r="A2493" s="5" t="s">
        <v>206</v>
      </c>
      <c r="B2493" s="5" t="s">
        <v>207</v>
      </c>
      <c r="C2493" s="5" t="s">
        <v>383</v>
      </c>
      <c r="D2493" s="5" t="s">
        <v>251</v>
      </c>
      <c r="E2493" s="5" t="s">
        <v>37</v>
      </c>
      <c r="F2493" s="5" t="s">
        <v>384</v>
      </c>
      <c r="G2493" s="5" t="s">
        <v>385</v>
      </c>
      <c r="H2493" s="5" t="s">
        <v>386</v>
      </c>
      <c r="I2493" s="5" t="s">
        <v>213</v>
      </c>
      <c r="J2493" s="5">
        <v>16.385197022517001</v>
      </c>
      <c r="K2493" s="5">
        <v>-96.839674296053005</v>
      </c>
      <c r="L2493" s="5" t="str">
        <f>HYPERLINK("https://maps.google.com/?q=16.385197022516703,-96.839674296052735", "🔗 Ver Mapa")</f>
        <v>🔗 Ver Mapa</v>
      </c>
    </row>
    <row r="2494" spans="1:12" ht="43.5" x14ac:dyDescent="0.35">
      <c r="A2494" s="6" t="s">
        <v>206</v>
      </c>
      <c r="B2494" s="6" t="s">
        <v>207</v>
      </c>
      <c r="C2494" s="6" t="s">
        <v>383</v>
      </c>
      <c r="D2494" s="6" t="s">
        <v>251</v>
      </c>
      <c r="E2494" s="6" t="s">
        <v>37</v>
      </c>
      <c r="F2494" s="6" t="s">
        <v>384</v>
      </c>
      <c r="G2494" s="6" t="s">
        <v>385</v>
      </c>
      <c r="H2494" s="6" t="s">
        <v>386</v>
      </c>
      <c r="I2494" s="6" t="s">
        <v>213</v>
      </c>
      <c r="J2494" s="6">
        <v>16.385225066549001</v>
      </c>
      <c r="K2494" s="6">
        <v>-96.840623528243995</v>
      </c>
      <c r="L2494" s="6" t="str">
        <f>HYPERLINK("https://maps.google.com/?q=16.385225066549346,-96.840623528244379", "🔗 Ver Mapa")</f>
        <v>🔗 Ver Mapa</v>
      </c>
    </row>
    <row r="2495" spans="1:12" ht="43.5" x14ac:dyDescent="0.35">
      <c r="A2495" s="5" t="s">
        <v>206</v>
      </c>
      <c r="B2495" s="5" t="s">
        <v>207</v>
      </c>
      <c r="C2495" s="5" t="s">
        <v>383</v>
      </c>
      <c r="D2495" s="5" t="s">
        <v>251</v>
      </c>
      <c r="E2495" s="5" t="s">
        <v>37</v>
      </c>
      <c r="F2495" s="5" t="s">
        <v>384</v>
      </c>
      <c r="G2495" s="5" t="s">
        <v>385</v>
      </c>
      <c r="H2495" s="5" t="s">
        <v>386</v>
      </c>
      <c r="I2495" s="5" t="s">
        <v>213</v>
      </c>
      <c r="J2495" s="5">
        <v>16.385237268150998</v>
      </c>
      <c r="K2495" s="5">
        <v>-96.837865572531996</v>
      </c>
      <c r="L2495" s="5" t="str">
        <f>HYPERLINK("https://maps.google.com/?q=16.385237268150817,-96.837865572532237", "🔗 Ver Mapa")</f>
        <v>🔗 Ver Mapa</v>
      </c>
    </row>
    <row r="2496" spans="1:12" ht="43.5" x14ac:dyDescent="0.35">
      <c r="A2496" s="6" t="s">
        <v>206</v>
      </c>
      <c r="B2496" s="6" t="s">
        <v>207</v>
      </c>
      <c r="C2496" s="6" t="s">
        <v>383</v>
      </c>
      <c r="D2496" s="6" t="s">
        <v>251</v>
      </c>
      <c r="E2496" s="6" t="s">
        <v>37</v>
      </c>
      <c r="F2496" s="6" t="s">
        <v>384</v>
      </c>
      <c r="G2496" s="6" t="s">
        <v>385</v>
      </c>
      <c r="H2496" s="6" t="s">
        <v>386</v>
      </c>
      <c r="I2496" s="6" t="s">
        <v>213</v>
      </c>
      <c r="J2496" s="6">
        <v>16.385259605270001</v>
      </c>
      <c r="K2496" s="6">
        <v>-96.839827309873002</v>
      </c>
      <c r="L2496" s="6" t="str">
        <f>HYPERLINK("https://maps.google.com/?q=16.38525960527008,-96.839827309873414", "🔗 Ver Mapa")</f>
        <v>🔗 Ver Mapa</v>
      </c>
    </row>
    <row r="2497" spans="1:12" ht="43.5" x14ac:dyDescent="0.35">
      <c r="A2497" s="5" t="s">
        <v>206</v>
      </c>
      <c r="B2497" s="5" t="s">
        <v>207</v>
      </c>
      <c r="C2497" s="5" t="s">
        <v>383</v>
      </c>
      <c r="D2497" s="5" t="s">
        <v>251</v>
      </c>
      <c r="E2497" s="5" t="s">
        <v>37</v>
      </c>
      <c r="F2497" s="5" t="s">
        <v>384</v>
      </c>
      <c r="G2497" s="5" t="s">
        <v>385</v>
      </c>
      <c r="H2497" s="5" t="s">
        <v>386</v>
      </c>
      <c r="I2497" s="5" t="s">
        <v>213</v>
      </c>
      <c r="J2497" s="5">
        <v>16.385300991865002</v>
      </c>
      <c r="K2497" s="5">
        <v>-96.841268391895994</v>
      </c>
      <c r="L2497" s="5" t="str">
        <f>HYPERLINK("https://maps.google.com/?q=16.385300991864764,-96.841268391896278", "🔗 Ver Mapa")</f>
        <v>🔗 Ver Mapa</v>
      </c>
    </row>
    <row r="2498" spans="1:12" ht="43.5" x14ac:dyDescent="0.35">
      <c r="A2498" s="6" t="s">
        <v>206</v>
      </c>
      <c r="B2498" s="6" t="s">
        <v>207</v>
      </c>
      <c r="C2498" s="6" t="s">
        <v>383</v>
      </c>
      <c r="D2498" s="6" t="s">
        <v>251</v>
      </c>
      <c r="E2498" s="6" t="s">
        <v>37</v>
      </c>
      <c r="F2498" s="6" t="s">
        <v>384</v>
      </c>
      <c r="G2498" s="6" t="s">
        <v>385</v>
      </c>
      <c r="H2498" s="6" t="s">
        <v>386</v>
      </c>
      <c r="I2498" s="6" t="s">
        <v>213</v>
      </c>
      <c r="J2498" s="6">
        <v>16.385301993041001</v>
      </c>
      <c r="K2498" s="6">
        <v>-96.842771156639998</v>
      </c>
      <c r="L2498" s="6" t="str">
        <f>HYPERLINK("https://maps.google.com/?q=16.38530199304129,-96.842771156640168", "🔗 Ver Mapa")</f>
        <v>🔗 Ver Mapa</v>
      </c>
    </row>
    <row r="2499" spans="1:12" ht="43.5" x14ac:dyDescent="0.35">
      <c r="A2499" s="5" t="s">
        <v>206</v>
      </c>
      <c r="B2499" s="5" t="s">
        <v>207</v>
      </c>
      <c r="C2499" s="5" t="s">
        <v>383</v>
      </c>
      <c r="D2499" s="5" t="s">
        <v>251</v>
      </c>
      <c r="E2499" s="5" t="s">
        <v>37</v>
      </c>
      <c r="F2499" s="5" t="s">
        <v>384</v>
      </c>
      <c r="G2499" s="5" t="s">
        <v>385</v>
      </c>
      <c r="H2499" s="5" t="s">
        <v>386</v>
      </c>
      <c r="I2499" s="5" t="s">
        <v>213</v>
      </c>
      <c r="J2499" s="5">
        <v>16.385303604209</v>
      </c>
      <c r="K2499" s="5">
        <v>-96.842519567137003</v>
      </c>
      <c r="L2499" s="5" t="str">
        <f>HYPERLINK("https://maps.google.com/?q=16.385303604209042,-96.842519567137188", "🔗 Ver Mapa")</f>
        <v>🔗 Ver Mapa</v>
      </c>
    </row>
    <row r="2500" spans="1:12" ht="43.5" x14ac:dyDescent="0.35">
      <c r="A2500" s="6" t="s">
        <v>206</v>
      </c>
      <c r="B2500" s="6" t="s">
        <v>207</v>
      </c>
      <c r="C2500" s="6" t="s">
        <v>383</v>
      </c>
      <c r="D2500" s="6" t="s">
        <v>251</v>
      </c>
      <c r="E2500" s="6" t="s">
        <v>37</v>
      </c>
      <c r="F2500" s="6" t="s">
        <v>384</v>
      </c>
      <c r="G2500" s="6" t="s">
        <v>385</v>
      </c>
      <c r="H2500" s="6" t="s">
        <v>386</v>
      </c>
      <c r="I2500" s="6" t="s">
        <v>213</v>
      </c>
      <c r="J2500" s="6">
        <v>16.385314407218001</v>
      </c>
      <c r="K2500" s="6">
        <v>-96.838958269981006</v>
      </c>
      <c r="L2500" s="6" t="str">
        <f>HYPERLINK("https://maps.google.com/?q=16.385314407217795,-96.83895826998112", "🔗 Ver Mapa")</f>
        <v>🔗 Ver Mapa</v>
      </c>
    </row>
    <row r="2501" spans="1:12" ht="43.5" x14ac:dyDescent="0.35">
      <c r="A2501" s="5" t="s">
        <v>206</v>
      </c>
      <c r="B2501" s="5" t="s">
        <v>207</v>
      </c>
      <c r="C2501" s="5" t="s">
        <v>383</v>
      </c>
      <c r="D2501" s="5" t="s">
        <v>251</v>
      </c>
      <c r="E2501" s="5" t="s">
        <v>37</v>
      </c>
      <c r="F2501" s="5" t="s">
        <v>384</v>
      </c>
      <c r="G2501" s="5" t="s">
        <v>385</v>
      </c>
      <c r="H2501" s="5" t="s">
        <v>386</v>
      </c>
      <c r="I2501" s="5" t="s">
        <v>213</v>
      </c>
      <c r="J2501" s="5">
        <v>16.385320416801001</v>
      </c>
      <c r="K2501" s="5">
        <v>-96.838063581674007</v>
      </c>
      <c r="L2501" s="5" t="str">
        <f>HYPERLINK("https://maps.google.com/?q=16.385320416800646,-96.838063581673794", "🔗 Ver Mapa")</f>
        <v>🔗 Ver Mapa</v>
      </c>
    </row>
    <row r="2502" spans="1:12" ht="43.5" x14ac:dyDescent="0.35">
      <c r="A2502" s="6" t="s">
        <v>206</v>
      </c>
      <c r="B2502" s="6" t="s">
        <v>207</v>
      </c>
      <c r="C2502" s="6" t="s">
        <v>383</v>
      </c>
      <c r="D2502" s="6" t="s">
        <v>251</v>
      </c>
      <c r="E2502" s="6" t="s">
        <v>37</v>
      </c>
      <c r="F2502" s="6" t="s">
        <v>384</v>
      </c>
      <c r="G2502" s="6" t="s">
        <v>385</v>
      </c>
      <c r="H2502" s="6" t="s">
        <v>386</v>
      </c>
      <c r="I2502" s="6" t="s">
        <v>213</v>
      </c>
      <c r="J2502" s="6">
        <v>16.385323792415001</v>
      </c>
      <c r="K2502" s="6">
        <v>-96.837499119187996</v>
      </c>
      <c r="L2502" s="6" t="str">
        <f>HYPERLINK("https://maps.google.com/?q=16.385323792414813,-96.837499119188422", "🔗 Ver Mapa")</f>
        <v>🔗 Ver Mapa</v>
      </c>
    </row>
    <row r="2503" spans="1:12" ht="43.5" x14ac:dyDescent="0.35">
      <c r="A2503" s="5" t="s">
        <v>206</v>
      </c>
      <c r="B2503" s="5" t="s">
        <v>207</v>
      </c>
      <c r="C2503" s="5" t="s">
        <v>383</v>
      </c>
      <c r="D2503" s="5" t="s">
        <v>251</v>
      </c>
      <c r="E2503" s="5" t="s">
        <v>37</v>
      </c>
      <c r="F2503" s="5" t="s">
        <v>384</v>
      </c>
      <c r="G2503" s="5" t="s">
        <v>385</v>
      </c>
      <c r="H2503" s="5" t="s">
        <v>386</v>
      </c>
      <c r="I2503" s="5" t="s">
        <v>213</v>
      </c>
      <c r="J2503" s="5">
        <v>16.385378900997001</v>
      </c>
      <c r="K2503" s="5">
        <v>-96.838259860234999</v>
      </c>
      <c r="L2503" s="5" t="str">
        <f>HYPERLINK("https://maps.google.com/?q=16.385378900996837,-96.838259860234587", "🔗 Ver Mapa")</f>
        <v>🔗 Ver Mapa</v>
      </c>
    </row>
    <row r="2504" spans="1:12" ht="43.5" x14ac:dyDescent="0.35">
      <c r="A2504" s="6" t="s">
        <v>206</v>
      </c>
      <c r="B2504" s="6" t="s">
        <v>207</v>
      </c>
      <c r="C2504" s="6" t="s">
        <v>383</v>
      </c>
      <c r="D2504" s="6" t="s">
        <v>251</v>
      </c>
      <c r="E2504" s="6" t="s">
        <v>37</v>
      </c>
      <c r="F2504" s="6" t="s">
        <v>384</v>
      </c>
      <c r="G2504" s="6" t="s">
        <v>385</v>
      </c>
      <c r="H2504" s="6" t="s">
        <v>386</v>
      </c>
      <c r="I2504" s="6" t="s">
        <v>213</v>
      </c>
      <c r="J2504" s="6">
        <v>16.385384098947998</v>
      </c>
      <c r="K2504" s="6">
        <v>-96.838574828538</v>
      </c>
      <c r="L2504" s="6" t="str">
        <f>HYPERLINK("https://maps.google.com/?q=16.38538409894833,-96.838574828538157", "🔗 Ver Mapa")</f>
        <v>🔗 Ver Mapa</v>
      </c>
    </row>
    <row r="2505" spans="1:12" ht="43.5" x14ac:dyDescent="0.35">
      <c r="A2505" s="5" t="s">
        <v>206</v>
      </c>
      <c r="B2505" s="5" t="s">
        <v>207</v>
      </c>
      <c r="C2505" s="5" t="s">
        <v>383</v>
      </c>
      <c r="D2505" s="5" t="s">
        <v>251</v>
      </c>
      <c r="E2505" s="5" t="s">
        <v>37</v>
      </c>
      <c r="F2505" s="5" t="s">
        <v>384</v>
      </c>
      <c r="G2505" s="5" t="s">
        <v>385</v>
      </c>
      <c r="H2505" s="5" t="s">
        <v>386</v>
      </c>
      <c r="I2505" s="5" t="s">
        <v>213</v>
      </c>
      <c r="J2505" s="5">
        <v>16.385397918307</v>
      </c>
      <c r="K2505" s="5">
        <v>-96.838066817677003</v>
      </c>
      <c r="L2505" s="5" t="str">
        <f>HYPERLINK("https://maps.google.com/?q=16.38539791830728,-96.838066817677387", "🔗 Ver Mapa")</f>
        <v>🔗 Ver Mapa</v>
      </c>
    </row>
    <row r="2506" spans="1:12" ht="43.5" x14ac:dyDescent="0.35">
      <c r="A2506" s="6" t="s">
        <v>206</v>
      </c>
      <c r="B2506" s="6" t="s">
        <v>207</v>
      </c>
      <c r="C2506" s="6" t="s">
        <v>383</v>
      </c>
      <c r="D2506" s="6" t="s">
        <v>251</v>
      </c>
      <c r="E2506" s="6" t="s">
        <v>37</v>
      </c>
      <c r="F2506" s="6" t="s">
        <v>384</v>
      </c>
      <c r="G2506" s="6" t="s">
        <v>385</v>
      </c>
      <c r="H2506" s="6" t="s">
        <v>386</v>
      </c>
      <c r="I2506" s="6" t="s">
        <v>213</v>
      </c>
      <c r="J2506" s="6">
        <v>16.385405431540001</v>
      </c>
      <c r="K2506" s="6">
        <v>-96.840848516860007</v>
      </c>
      <c r="L2506" s="6" t="str">
        <f>HYPERLINK("https://maps.google.com/?q=16.38540543154024,-96.840848516860106", "🔗 Ver Mapa")</f>
        <v>🔗 Ver Mapa</v>
      </c>
    </row>
    <row r="2507" spans="1:12" ht="43.5" x14ac:dyDescent="0.35">
      <c r="A2507" s="5" t="s">
        <v>206</v>
      </c>
      <c r="B2507" s="5" t="s">
        <v>207</v>
      </c>
      <c r="C2507" s="5" t="s">
        <v>383</v>
      </c>
      <c r="D2507" s="5" t="s">
        <v>251</v>
      </c>
      <c r="E2507" s="5" t="s">
        <v>37</v>
      </c>
      <c r="F2507" s="5" t="s">
        <v>384</v>
      </c>
      <c r="G2507" s="5" t="s">
        <v>385</v>
      </c>
      <c r="H2507" s="5" t="s">
        <v>386</v>
      </c>
      <c r="I2507" s="5" t="s">
        <v>213</v>
      </c>
      <c r="J2507" s="5">
        <v>16.385406523176002</v>
      </c>
      <c r="K2507" s="5">
        <v>-96.844870043108997</v>
      </c>
      <c r="L2507" s="5" t="str">
        <f>HYPERLINK("https://maps.google.com/?q=16.385406523175938,-96.844870043108969", "🔗 Ver Mapa")</f>
        <v>🔗 Ver Mapa</v>
      </c>
    </row>
    <row r="2508" spans="1:12" ht="43.5" x14ac:dyDescent="0.35">
      <c r="A2508" s="6" t="s">
        <v>206</v>
      </c>
      <c r="B2508" s="6" t="s">
        <v>207</v>
      </c>
      <c r="C2508" s="6" t="s">
        <v>383</v>
      </c>
      <c r="D2508" s="6" t="s">
        <v>251</v>
      </c>
      <c r="E2508" s="6" t="s">
        <v>37</v>
      </c>
      <c r="F2508" s="6" t="s">
        <v>384</v>
      </c>
      <c r="G2508" s="6" t="s">
        <v>385</v>
      </c>
      <c r="H2508" s="6" t="s">
        <v>386</v>
      </c>
      <c r="I2508" s="6" t="s">
        <v>213</v>
      </c>
      <c r="J2508" s="6">
        <v>16.385428870167999</v>
      </c>
      <c r="K2508" s="6">
        <v>-96.843027799086997</v>
      </c>
      <c r="L2508" s="6" t="str">
        <f>HYPERLINK("https://maps.google.com/?q=16.385428870167686,-96.843027799086542", "🔗 Ver Mapa")</f>
        <v>🔗 Ver Mapa</v>
      </c>
    </row>
    <row r="2509" spans="1:12" ht="43.5" x14ac:dyDescent="0.35">
      <c r="A2509" s="5" t="s">
        <v>206</v>
      </c>
      <c r="B2509" s="5" t="s">
        <v>207</v>
      </c>
      <c r="C2509" s="5" t="s">
        <v>383</v>
      </c>
      <c r="D2509" s="5" t="s">
        <v>251</v>
      </c>
      <c r="E2509" s="5" t="s">
        <v>37</v>
      </c>
      <c r="F2509" s="5" t="s">
        <v>384</v>
      </c>
      <c r="G2509" s="5" t="s">
        <v>385</v>
      </c>
      <c r="H2509" s="5" t="s">
        <v>386</v>
      </c>
      <c r="I2509" s="5" t="s">
        <v>213</v>
      </c>
      <c r="J2509" s="5">
        <v>16.385453971381001</v>
      </c>
      <c r="K2509" s="5">
        <v>-96.843736407587997</v>
      </c>
      <c r="L2509" s="5" t="str">
        <f>HYPERLINK("https://maps.google.com/?q=16.385453971381278,-96.843736407587656", "🔗 Ver Mapa")</f>
        <v>🔗 Ver Mapa</v>
      </c>
    </row>
    <row r="2510" spans="1:12" ht="43.5" x14ac:dyDescent="0.35">
      <c r="A2510" s="6" t="s">
        <v>206</v>
      </c>
      <c r="B2510" s="6" t="s">
        <v>207</v>
      </c>
      <c r="C2510" s="6" t="s">
        <v>383</v>
      </c>
      <c r="D2510" s="6" t="s">
        <v>251</v>
      </c>
      <c r="E2510" s="6" t="s">
        <v>37</v>
      </c>
      <c r="F2510" s="6" t="s">
        <v>384</v>
      </c>
      <c r="G2510" s="6" t="s">
        <v>385</v>
      </c>
      <c r="H2510" s="6" t="s">
        <v>386</v>
      </c>
      <c r="I2510" s="6" t="s">
        <v>213</v>
      </c>
      <c r="J2510" s="6">
        <v>16.385468322293001</v>
      </c>
      <c r="K2510" s="6">
        <v>-96.837766503447</v>
      </c>
      <c r="L2510" s="6" t="str">
        <f>HYPERLINK("https://maps.google.com/?q=16.385468322293445,-96.837766503446517", "🔗 Ver Mapa")</f>
        <v>🔗 Ver Mapa</v>
      </c>
    </row>
    <row r="2511" spans="1:12" ht="43.5" x14ac:dyDescent="0.35">
      <c r="A2511" s="5" t="s">
        <v>206</v>
      </c>
      <c r="B2511" s="5" t="s">
        <v>207</v>
      </c>
      <c r="C2511" s="5" t="s">
        <v>383</v>
      </c>
      <c r="D2511" s="5" t="s">
        <v>251</v>
      </c>
      <c r="E2511" s="5" t="s">
        <v>37</v>
      </c>
      <c r="F2511" s="5" t="s">
        <v>384</v>
      </c>
      <c r="G2511" s="5" t="s">
        <v>385</v>
      </c>
      <c r="H2511" s="5" t="s">
        <v>386</v>
      </c>
      <c r="I2511" s="5" t="s">
        <v>213</v>
      </c>
      <c r="J2511" s="5">
        <v>16.385476006468998</v>
      </c>
      <c r="K2511" s="5">
        <v>-96.839999152827005</v>
      </c>
      <c r="L2511" s="5" t="str">
        <f>HYPERLINK("https://maps.google.com/?q=16.38547600646911,-96.839999152827161", "🔗 Ver Mapa")</f>
        <v>🔗 Ver Mapa</v>
      </c>
    </row>
    <row r="2512" spans="1:12" ht="43.5" x14ac:dyDescent="0.35">
      <c r="A2512" s="6" t="s">
        <v>206</v>
      </c>
      <c r="B2512" s="6" t="s">
        <v>207</v>
      </c>
      <c r="C2512" s="6" t="s">
        <v>383</v>
      </c>
      <c r="D2512" s="6" t="s">
        <v>251</v>
      </c>
      <c r="E2512" s="6" t="s">
        <v>37</v>
      </c>
      <c r="F2512" s="6" t="s">
        <v>384</v>
      </c>
      <c r="G2512" s="6" t="s">
        <v>385</v>
      </c>
      <c r="H2512" s="6" t="s">
        <v>386</v>
      </c>
      <c r="I2512" s="6" t="s">
        <v>213</v>
      </c>
      <c r="J2512" s="6">
        <v>16.385508487700001</v>
      </c>
      <c r="K2512" s="6">
        <v>-96.843777932985006</v>
      </c>
      <c r="L2512" s="6" t="str">
        <f>HYPERLINK("https://maps.google.com/?q=16.385508487700495,-96.843777932985276", "🔗 Ver Mapa")</f>
        <v>🔗 Ver Mapa</v>
      </c>
    </row>
    <row r="2513" spans="1:12" ht="43.5" x14ac:dyDescent="0.35">
      <c r="A2513" s="5" t="s">
        <v>206</v>
      </c>
      <c r="B2513" s="5" t="s">
        <v>207</v>
      </c>
      <c r="C2513" s="5" t="s">
        <v>383</v>
      </c>
      <c r="D2513" s="5" t="s">
        <v>251</v>
      </c>
      <c r="E2513" s="5" t="s">
        <v>37</v>
      </c>
      <c r="F2513" s="5" t="s">
        <v>384</v>
      </c>
      <c r="G2513" s="5" t="s">
        <v>385</v>
      </c>
      <c r="H2513" s="5" t="s">
        <v>386</v>
      </c>
      <c r="I2513" s="5" t="s">
        <v>213</v>
      </c>
      <c r="J2513" s="5">
        <v>16.385516105499001</v>
      </c>
      <c r="K2513" s="5">
        <v>-96.837954458219997</v>
      </c>
      <c r="L2513" s="5" t="str">
        <f>HYPERLINK("https://maps.google.com/?q=16.38551610549858,-96.83795445822004", "🔗 Ver Mapa")</f>
        <v>🔗 Ver Mapa</v>
      </c>
    </row>
    <row r="2514" spans="1:12" ht="43.5" x14ac:dyDescent="0.35">
      <c r="A2514" s="6" t="s">
        <v>206</v>
      </c>
      <c r="B2514" s="6" t="s">
        <v>207</v>
      </c>
      <c r="C2514" s="6" t="s">
        <v>383</v>
      </c>
      <c r="D2514" s="6" t="s">
        <v>251</v>
      </c>
      <c r="E2514" s="6" t="s">
        <v>37</v>
      </c>
      <c r="F2514" s="6" t="s">
        <v>384</v>
      </c>
      <c r="G2514" s="6" t="s">
        <v>385</v>
      </c>
      <c r="H2514" s="6" t="s">
        <v>386</v>
      </c>
      <c r="I2514" s="6" t="s">
        <v>213</v>
      </c>
      <c r="J2514" s="6">
        <v>16.385539321928</v>
      </c>
      <c r="K2514" s="6">
        <v>-96.838208341197998</v>
      </c>
      <c r="L2514" s="6" t="str">
        <f>HYPERLINK("https://maps.google.com/?q=16.385539321928462,-96.838208341197728", "🔗 Ver Mapa")</f>
        <v>🔗 Ver Mapa</v>
      </c>
    </row>
    <row r="2515" spans="1:12" ht="43.5" x14ac:dyDescent="0.35">
      <c r="A2515" s="5" t="s">
        <v>206</v>
      </c>
      <c r="B2515" s="5" t="s">
        <v>207</v>
      </c>
      <c r="C2515" s="5" t="s">
        <v>383</v>
      </c>
      <c r="D2515" s="5" t="s">
        <v>251</v>
      </c>
      <c r="E2515" s="5" t="s">
        <v>37</v>
      </c>
      <c r="F2515" s="5" t="s">
        <v>384</v>
      </c>
      <c r="G2515" s="5" t="s">
        <v>385</v>
      </c>
      <c r="H2515" s="5" t="s">
        <v>386</v>
      </c>
      <c r="I2515" s="5" t="s">
        <v>213</v>
      </c>
      <c r="J2515" s="5">
        <v>16.385539800311001</v>
      </c>
      <c r="K2515" s="5">
        <v>-96.839341321689005</v>
      </c>
      <c r="L2515" s="5" t="str">
        <f>HYPERLINK("https://maps.google.com/?q=16.385539800310728,-96.839341321688892", "🔗 Ver Mapa")</f>
        <v>🔗 Ver Mapa</v>
      </c>
    </row>
    <row r="2516" spans="1:12" ht="43.5" x14ac:dyDescent="0.35">
      <c r="A2516" s="6" t="s">
        <v>206</v>
      </c>
      <c r="B2516" s="6" t="s">
        <v>207</v>
      </c>
      <c r="C2516" s="6" t="s">
        <v>383</v>
      </c>
      <c r="D2516" s="6" t="s">
        <v>251</v>
      </c>
      <c r="E2516" s="6" t="s">
        <v>37</v>
      </c>
      <c r="F2516" s="6" t="s">
        <v>384</v>
      </c>
      <c r="G2516" s="6" t="s">
        <v>385</v>
      </c>
      <c r="H2516" s="6" t="s">
        <v>386</v>
      </c>
      <c r="I2516" s="6" t="s">
        <v>213</v>
      </c>
      <c r="J2516" s="6">
        <v>16.385541311185001</v>
      </c>
      <c r="K2516" s="6">
        <v>-96.843481937050996</v>
      </c>
      <c r="L2516" s="6" t="str">
        <f>HYPERLINK("https://maps.google.com/?q=16.385541311184713,-96.843481937051195", "🔗 Ver Mapa")</f>
        <v>🔗 Ver Mapa</v>
      </c>
    </row>
    <row r="2517" spans="1:12" ht="43.5" x14ac:dyDescent="0.35">
      <c r="A2517" s="5" t="s">
        <v>206</v>
      </c>
      <c r="B2517" s="5" t="s">
        <v>207</v>
      </c>
      <c r="C2517" s="5" t="s">
        <v>383</v>
      </c>
      <c r="D2517" s="5" t="s">
        <v>251</v>
      </c>
      <c r="E2517" s="5" t="s">
        <v>37</v>
      </c>
      <c r="F2517" s="5" t="s">
        <v>384</v>
      </c>
      <c r="G2517" s="5" t="s">
        <v>385</v>
      </c>
      <c r="H2517" s="5" t="s">
        <v>386</v>
      </c>
      <c r="I2517" s="5" t="s">
        <v>213</v>
      </c>
      <c r="J2517" s="5">
        <v>16.385576576971999</v>
      </c>
      <c r="K2517" s="5">
        <v>-96.841091595606002</v>
      </c>
      <c r="L2517" s="5" t="str">
        <f>HYPERLINK("https://maps.google.com/?q=16.385576576972372,-96.841091595605818", "🔗 Ver Mapa")</f>
        <v>🔗 Ver Mapa</v>
      </c>
    </row>
    <row r="2518" spans="1:12" ht="43.5" x14ac:dyDescent="0.35">
      <c r="A2518" s="6" t="s">
        <v>206</v>
      </c>
      <c r="B2518" s="6" t="s">
        <v>207</v>
      </c>
      <c r="C2518" s="6" t="s">
        <v>383</v>
      </c>
      <c r="D2518" s="6" t="s">
        <v>251</v>
      </c>
      <c r="E2518" s="6" t="s">
        <v>37</v>
      </c>
      <c r="F2518" s="6" t="s">
        <v>384</v>
      </c>
      <c r="G2518" s="6" t="s">
        <v>385</v>
      </c>
      <c r="H2518" s="6" t="s">
        <v>386</v>
      </c>
      <c r="I2518" s="6" t="s">
        <v>213</v>
      </c>
      <c r="J2518" s="6">
        <v>16.385581938239</v>
      </c>
      <c r="K2518" s="6">
        <v>-96.840079250030001</v>
      </c>
      <c r="L2518" s="6" t="str">
        <f>HYPERLINK("https://maps.google.com/?q=16.3855819382386,-96.840079250029717", "🔗 Ver Mapa")</f>
        <v>🔗 Ver Mapa</v>
      </c>
    </row>
    <row r="2519" spans="1:12" ht="43.5" x14ac:dyDescent="0.35">
      <c r="A2519" s="5" t="s">
        <v>206</v>
      </c>
      <c r="B2519" s="5" t="s">
        <v>207</v>
      </c>
      <c r="C2519" s="5" t="s">
        <v>383</v>
      </c>
      <c r="D2519" s="5" t="s">
        <v>251</v>
      </c>
      <c r="E2519" s="5" t="s">
        <v>37</v>
      </c>
      <c r="F2519" s="5" t="s">
        <v>384</v>
      </c>
      <c r="G2519" s="5" t="s">
        <v>385</v>
      </c>
      <c r="H2519" s="5" t="s">
        <v>386</v>
      </c>
      <c r="I2519" s="5" t="s">
        <v>213</v>
      </c>
      <c r="J2519" s="5">
        <v>16.38559765806</v>
      </c>
      <c r="K2519" s="5">
        <v>-96.843687881416997</v>
      </c>
      <c r="L2519" s="5" t="str">
        <f>HYPERLINK("https://maps.google.com/?q=16.385597658059783,-96.843687881416585", "🔗 Ver Mapa")</f>
        <v>🔗 Ver Mapa</v>
      </c>
    </row>
    <row r="2520" spans="1:12" ht="43.5" x14ac:dyDescent="0.35">
      <c r="A2520" s="6" t="s">
        <v>206</v>
      </c>
      <c r="B2520" s="6" t="s">
        <v>207</v>
      </c>
      <c r="C2520" s="6" t="s">
        <v>383</v>
      </c>
      <c r="D2520" s="6" t="s">
        <v>251</v>
      </c>
      <c r="E2520" s="6" t="s">
        <v>37</v>
      </c>
      <c r="F2520" s="6" t="s">
        <v>384</v>
      </c>
      <c r="G2520" s="6" t="s">
        <v>385</v>
      </c>
      <c r="H2520" s="6" t="s">
        <v>386</v>
      </c>
      <c r="I2520" s="6" t="s">
        <v>213</v>
      </c>
      <c r="J2520" s="6">
        <v>16.385627938648</v>
      </c>
      <c r="K2520" s="6">
        <v>-96.837887027785001</v>
      </c>
      <c r="L2520" s="6" t="str">
        <f>HYPERLINK("https://maps.google.com/?q=16.38562793864769,-96.837887027785399", "🔗 Ver Mapa")</f>
        <v>🔗 Ver Mapa</v>
      </c>
    </row>
    <row r="2521" spans="1:12" ht="43.5" x14ac:dyDescent="0.35">
      <c r="A2521" s="5" t="s">
        <v>206</v>
      </c>
      <c r="B2521" s="5" t="s">
        <v>207</v>
      </c>
      <c r="C2521" s="5" t="s">
        <v>383</v>
      </c>
      <c r="D2521" s="5" t="s">
        <v>251</v>
      </c>
      <c r="E2521" s="5" t="s">
        <v>37</v>
      </c>
      <c r="F2521" s="5" t="s">
        <v>384</v>
      </c>
      <c r="G2521" s="5" t="s">
        <v>385</v>
      </c>
      <c r="H2521" s="5" t="s">
        <v>386</v>
      </c>
      <c r="I2521" s="5" t="s">
        <v>213</v>
      </c>
      <c r="J2521" s="5">
        <v>16.38566638971</v>
      </c>
      <c r="K2521" s="5">
        <v>-96.843805555089006</v>
      </c>
      <c r="L2521" s="5" t="str">
        <f>HYPERLINK("https://maps.google.com/?q=16.385666389709627,-96.843805555088537", "🔗 Ver Mapa")</f>
        <v>🔗 Ver Mapa</v>
      </c>
    </row>
    <row r="2522" spans="1:12" ht="43.5" x14ac:dyDescent="0.35">
      <c r="A2522" s="6" t="s">
        <v>206</v>
      </c>
      <c r="B2522" s="6" t="s">
        <v>207</v>
      </c>
      <c r="C2522" s="6" t="s">
        <v>383</v>
      </c>
      <c r="D2522" s="6" t="s">
        <v>251</v>
      </c>
      <c r="E2522" s="6" t="s">
        <v>37</v>
      </c>
      <c r="F2522" s="6" t="s">
        <v>384</v>
      </c>
      <c r="G2522" s="6" t="s">
        <v>385</v>
      </c>
      <c r="H2522" s="6" t="s">
        <v>386</v>
      </c>
      <c r="I2522" s="6" t="s">
        <v>213</v>
      </c>
      <c r="J2522" s="6">
        <v>16.385706713423001</v>
      </c>
      <c r="K2522" s="6">
        <v>-96.841009879761003</v>
      </c>
      <c r="L2522" s="6" t="str">
        <f>HYPERLINK("https://maps.google.com/?q=16.38570671342324,-96.841009879760563", "🔗 Ver Mapa")</f>
        <v>🔗 Ver Mapa</v>
      </c>
    </row>
    <row r="2523" spans="1:12" ht="43.5" x14ac:dyDescent="0.35">
      <c r="A2523" s="5" t="s">
        <v>206</v>
      </c>
      <c r="B2523" s="5" t="s">
        <v>207</v>
      </c>
      <c r="C2523" s="5" t="s">
        <v>383</v>
      </c>
      <c r="D2523" s="5" t="s">
        <v>251</v>
      </c>
      <c r="E2523" s="5" t="s">
        <v>37</v>
      </c>
      <c r="F2523" s="5" t="s">
        <v>384</v>
      </c>
      <c r="G2523" s="5" t="s">
        <v>385</v>
      </c>
      <c r="H2523" s="5" t="s">
        <v>386</v>
      </c>
      <c r="I2523" s="5" t="s">
        <v>213</v>
      </c>
      <c r="J2523" s="5">
        <v>16.385727146029001</v>
      </c>
      <c r="K2523" s="5">
        <v>-96.840043470238996</v>
      </c>
      <c r="L2523" s="5" t="str">
        <f>HYPERLINK("https://maps.google.com/?q=16.385727146028874,-96.840043470239465", "🔗 Ver Mapa")</f>
        <v>🔗 Ver Mapa</v>
      </c>
    </row>
    <row r="2524" spans="1:12" ht="43.5" x14ac:dyDescent="0.35">
      <c r="A2524" s="6" t="s">
        <v>206</v>
      </c>
      <c r="B2524" s="6" t="s">
        <v>207</v>
      </c>
      <c r="C2524" s="6" t="s">
        <v>383</v>
      </c>
      <c r="D2524" s="6" t="s">
        <v>251</v>
      </c>
      <c r="E2524" s="6" t="s">
        <v>37</v>
      </c>
      <c r="F2524" s="6" t="s">
        <v>384</v>
      </c>
      <c r="G2524" s="6" t="s">
        <v>385</v>
      </c>
      <c r="H2524" s="6" t="s">
        <v>386</v>
      </c>
      <c r="I2524" s="6" t="s">
        <v>213</v>
      </c>
      <c r="J2524" s="6">
        <v>16.385826389565</v>
      </c>
      <c r="K2524" s="6">
        <v>-96.839955308853007</v>
      </c>
      <c r="L2524" s="6" t="str">
        <f>HYPERLINK("https://maps.google.com/?q=16.38582638956513,-96.839955308852794", "🔗 Ver Mapa")</f>
        <v>🔗 Ver Mapa</v>
      </c>
    </row>
    <row r="2525" spans="1:12" ht="43.5" x14ac:dyDescent="0.35">
      <c r="A2525" s="5" t="s">
        <v>206</v>
      </c>
      <c r="B2525" s="5" t="s">
        <v>207</v>
      </c>
      <c r="C2525" s="5" t="s">
        <v>383</v>
      </c>
      <c r="D2525" s="5" t="s">
        <v>251</v>
      </c>
      <c r="E2525" s="5" t="s">
        <v>37</v>
      </c>
      <c r="F2525" s="5" t="s">
        <v>384</v>
      </c>
      <c r="G2525" s="5" t="s">
        <v>385</v>
      </c>
      <c r="H2525" s="5" t="s">
        <v>386</v>
      </c>
      <c r="I2525" s="5" t="s">
        <v>213</v>
      </c>
      <c r="J2525" s="5">
        <v>16.385857982246002</v>
      </c>
      <c r="K2525" s="5">
        <v>-96.838395354640994</v>
      </c>
      <c r="L2525" s="5" t="str">
        <f>HYPERLINK("https://maps.google.com/?q=16.38585798224566,-96.838395354640781", "🔗 Ver Mapa")</f>
        <v>🔗 Ver Mapa</v>
      </c>
    </row>
    <row r="2526" spans="1:12" ht="43.5" x14ac:dyDescent="0.35">
      <c r="A2526" s="6" t="s">
        <v>206</v>
      </c>
      <c r="B2526" s="6" t="s">
        <v>207</v>
      </c>
      <c r="C2526" s="6" t="s">
        <v>383</v>
      </c>
      <c r="D2526" s="6" t="s">
        <v>251</v>
      </c>
      <c r="E2526" s="6" t="s">
        <v>37</v>
      </c>
      <c r="F2526" s="6" t="s">
        <v>384</v>
      </c>
      <c r="G2526" s="6" t="s">
        <v>385</v>
      </c>
      <c r="H2526" s="6" t="s">
        <v>386</v>
      </c>
      <c r="I2526" s="6" t="s">
        <v>213</v>
      </c>
      <c r="J2526" s="6">
        <v>16.385928320314999</v>
      </c>
      <c r="K2526" s="6">
        <v>-96.844593208776004</v>
      </c>
      <c r="L2526" s="6" t="str">
        <f>HYPERLINK("https://maps.google.com/?q=16.385928320314765,-96.844593208775635", "🔗 Ver Mapa")</f>
        <v>🔗 Ver Mapa</v>
      </c>
    </row>
    <row r="2527" spans="1:12" ht="43.5" x14ac:dyDescent="0.35">
      <c r="A2527" s="5" t="s">
        <v>206</v>
      </c>
      <c r="B2527" s="5" t="s">
        <v>207</v>
      </c>
      <c r="C2527" s="5" t="s">
        <v>383</v>
      </c>
      <c r="D2527" s="5" t="s">
        <v>251</v>
      </c>
      <c r="E2527" s="5" t="s">
        <v>37</v>
      </c>
      <c r="F2527" s="5" t="s">
        <v>384</v>
      </c>
      <c r="G2527" s="5" t="s">
        <v>385</v>
      </c>
      <c r="H2527" s="5" t="s">
        <v>386</v>
      </c>
      <c r="I2527" s="5" t="s">
        <v>213</v>
      </c>
      <c r="J2527" s="5">
        <v>16.385929831668999</v>
      </c>
      <c r="K2527" s="5">
        <v>-96.840875093465996</v>
      </c>
      <c r="L2527" s="5" t="str">
        <f>HYPERLINK("https://maps.google.com/?q=16.38592983166898,-96.840875093466323", "🔗 Ver Mapa")</f>
        <v>🔗 Ver Mapa</v>
      </c>
    </row>
    <row r="2528" spans="1:12" ht="43.5" x14ac:dyDescent="0.35">
      <c r="A2528" s="6" t="s">
        <v>206</v>
      </c>
      <c r="B2528" s="6" t="s">
        <v>207</v>
      </c>
      <c r="C2528" s="6" t="s">
        <v>383</v>
      </c>
      <c r="D2528" s="6" t="s">
        <v>251</v>
      </c>
      <c r="E2528" s="6" t="s">
        <v>37</v>
      </c>
      <c r="F2528" s="6" t="s">
        <v>384</v>
      </c>
      <c r="G2528" s="6" t="s">
        <v>385</v>
      </c>
      <c r="H2528" s="6" t="s">
        <v>386</v>
      </c>
      <c r="I2528" s="6" t="s">
        <v>213</v>
      </c>
      <c r="J2528" s="6">
        <v>16.385973244481001</v>
      </c>
      <c r="K2528" s="6">
        <v>-96.840202164545005</v>
      </c>
      <c r="L2528" s="6" t="str">
        <f>HYPERLINK("https://maps.google.com/?q=16.38597324448079,-96.840202164545161", "🔗 Ver Mapa")</f>
        <v>🔗 Ver Mapa</v>
      </c>
    </row>
    <row r="2529" spans="1:12" ht="43.5" x14ac:dyDescent="0.35">
      <c r="A2529" s="5" t="s">
        <v>206</v>
      </c>
      <c r="B2529" s="5" t="s">
        <v>207</v>
      </c>
      <c r="C2529" s="5" t="s">
        <v>383</v>
      </c>
      <c r="D2529" s="5" t="s">
        <v>251</v>
      </c>
      <c r="E2529" s="5" t="s">
        <v>37</v>
      </c>
      <c r="F2529" s="5" t="s">
        <v>384</v>
      </c>
      <c r="G2529" s="5" t="s">
        <v>385</v>
      </c>
      <c r="H2529" s="5" t="s">
        <v>386</v>
      </c>
      <c r="I2529" s="5" t="s">
        <v>213</v>
      </c>
      <c r="J2529" s="5">
        <v>16.385976433364</v>
      </c>
      <c r="K2529" s="5">
        <v>-96.837679819464</v>
      </c>
      <c r="L2529" s="5" t="str">
        <f>HYPERLINK("https://maps.google.com/?q=16.38597643336352,-96.837679819463801", "🔗 Ver Mapa")</f>
        <v>🔗 Ver Mapa</v>
      </c>
    </row>
    <row r="2530" spans="1:12" ht="43.5" x14ac:dyDescent="0.35">
      <c r="A2530" s="6" t="s">
        <v>206</v>
      </c>
      <c r="B2530" s="6" t="s">
        <v>207</v>
      </c>
      <c r="C2530" s="6" t="s">
        <v>383</v>
      </c>
      <c r="D2530" s="6" t="s">
        <v>251</v>
      </c>
      <c r="E2530" s="6" t="s">
        <v>37</v>
      </c>
      <c r="F2530" s="6" t="s">
        <v>384</v>
      </c>
      <c r="G2530" s="6" t="s">
        <v>385</v>
      </c>
      <c r="H2530" s="6" t="s">
        <v>386</v>
      </c>
      <c r="I2530" s="6" t="s">
        <v>213</v>
      </c>
      <c r="J2530" s="6">
        <v>16.386003607372999</v>
      </c>
      <c r="K2530" s="6">
        <v>-96.844191408292005</v>
      </c>
      <c r="L2530" s="6" t="str">
        <f>HYPERLINK("https://maps.google.com/?q=16.386003607372853,-96.84419140829182", "🔗 Ver Mapa")</f>
        <v>🔗 Ver Mapa</v>
      </c>
    </row>
    <row r="2531" spans="1:12" ht="43.5" x14ac:dyDescent="0.35">
      <c r="A2531" s="5" t="s">
        <v>206</v>
      </c>
      <c r="B2531" s="5" t="s">
        <v>207</v>
      </c>
      <c r="C2531" s="5" t="s">
        <v>383</v>
      </c>
      <c r="D2531" s="5" t="s">
        <v>251</v>
      </c>
      <c r="E2531" s="5" t="s">
        <v>37</v>
      </c>
      <c r="F2531" s="5" t="s">
        <v>384</v>
      </c>
      <c r="G2531" s="5" t="s">
        <v>385</v>
      </c>
      <c r="H2531" s="5" t="s">
        <v>386</v>
      </c>
      <c r="I2531" s="5" t="s">
        <v>213</v>
      </c>
      <c r="J2531" s="5">
        <v>16.386028176059</v>
      </c>
      <c r="K2531" s="5">
        <v>-96.840226005068004</v>
      </c>
      <c r="L2531" s="5" t="str">
        <f>HYPERLINK("https://maps.google.com/?q=16.386028176059437,-96.840226005068246", "🔗 Ver Mapa")</f>
        <v>🔗 Ver Mapa</v>
      </c>
    </row>
    <row r="2532" spans="1:12" ht="43.5" x14ac:dyDescent="0.35">
      <c r="A2532" s="6" t="s">
        <v>206</v>
      </c>
      <c r="B2532" s="6" t="s">
        <v>207</v>
      </c>
      <c r="C2532" s="6" t="s">
        <v>383</v>
      </c>
      <c r="D2532" s="6" t="s">
        <v>251</v>
      </c>
      <c r="E2532" s="6" t="s">
        <v>37</v>
      </c>
      <c r="F2532" s="6" t="s">
        <v>384</v>
      </c>
      <c r="G2532" s="6" t="s">
        <v>385</v>
      </c>
      <c r="H2532" s="6" t="s">
        <v>386</v>
      </c>
      <c r="I2532" s="6" t="s">
        <v>213</v>
      </c>
      <c r="J2532" s="6">
        <v>16.386053718423</v>
      </c>
      <c r="K2532" s="6">
        <v>-96.840202391342004</v>
      </c>
      <c r="L2532" s="6" t="str">
        <f>HYPERLINK("https://maps.google.com/?q=16.386053718423145,-96.840202391342203", "🔗 Ver Mapa")</f>
        <v>🔗 Ver Mapa</v>
      </c>
    </row>
    <row r="2533" spans="1:12" ht="43.5" x14ac:dyDescent="0.35">
      <c r="A2533" s="5" t="s">
        <v>206</v>
      </c>
      <c r="B2533" s="5" t="s">
        <v>207</v>
      </c>
      <c r="C2533" s="5" t="s">
        <v>383</v>
      </c>
      <c r="D2533" s="5" t="s">
        <v>251</v>
      </c>
      <c r="E2533" s="5" t="s">
        <v>37</v>
      </c>
      <c r="F2533" s="5" t="s">
        <v>384</v>
      </c>
      <c r="G2533" s="5" t="s">
        <v>385</v>
      </c>
      <c r="H2533" s="5" t="s">
        <v>386</v>
      </c>
      <c r="I2533" s="5" t="s">
        <v>213</v>
      </c>
      <c r="J2533" s="5">
        <v>16.386121542059001</v>
      </c>
      <c r="K2533" s="5">
        <v>-96.838689944698004</v>
      </c>
      <c r="L2533" s="5" t="str">
        <f>HYPERLINK("https://maps.google.com/?q=16.38612154205906,-96.83868994469762", "🔗 Ver Mapa")</f>
        <v>🔗 Ver Mapa</v>
      </c>
    </row>
    <row r="2534" spans="1:12" ht="43.5" x14ac:dyDescent="0.35">
      <c r="A2534" s="6" t="s">
        <v>206</v>
      </c>
      <c r="B2534" s="6" t="s">
        <v>207</v>
      </c>
      <c r="C2534" s="6" t="s">
        <v>383</v>
      </c>
      <c r="D2534" s="6" t="s">
        <v>251</v>
      </c>
      <c r="E2534" s="6" t="s">
        <v>37</v>
      </c>
      <c r="F2534" s="6" t="s">
        <v>384</v>
      </c>
      <c r="G2534" s="6" t="s">
        <v>385</v>
      </c>
      <c r="H2534" s="6" t="s">
        <v>386</v>
      </c>
      <c r="I2534" s="6" t="s">
        <v>213</v>
      </c>
      <c r="J2534" s="6">
        <v>16.386143281323001</v>
      </c>
      <c r="K2534" s="6">
        <v>-96.840293235683006</v>
      </c>
      <c r="L2534" s="6" t="str">
        <f>HYPERLINK("https://maps.google.com/?q=16.386143281323122,-96.840293235683163", "🔗 Ver Mapa")</f>
        <v>🔗 Ver Mapa</v>
      </c>
    </row>
    <row r="2535" spans="1:12" ht="43.5" x14ac:dyDescent="0.35">
      <c r="A2535" s="5" t="s">
        <v>206</v>
      </c>
      <c r="B2535" s="5" t="s">
        <v>207</v>
      </c>
      <c r="C2535" s="5" t="s">
        <v>383</v>
      </c>
      <c r="D2535" s="5" t="s">
        <v>251</v>
      </c>
      <c r="E2535" s="5" t="s">
        <v>37</v>
      </c>
      <c r="F2535" s="5" t="s">
        <v>384</v>
      </c>
      <c r="G2535" s="5" t="s">
        <v>385</v>
      </c>
      <c r="H2535" s="5" t="s">
        <v>386</v>
      </c>
      <c r="I2535" s="5" t="s">
        <v>213</v>
      </c>
      <c r="J2535" s="5">
        <v>16.386198280944001</v>
      </c>
      <c r="K2535" s="5">
        <v>-96.835841821789998</v>
      </c>
      <c r="L2535" s="5" t="str">
        <f>HYPERLINK("https://maps.google.com/?q=16.386198280944086,-96.835841821789529", "🔗 Ver Mapa")</f>
        <v>🔗 Ver Mapa</v>
      </c>
    </row>
    <row r="2536" spans="1:12" ht="43.5" x14ac:dyDescent="0.35">
      <c r="A2536" s="6" t="s">
        <v>206</v>
      </c>
      <c r="B2536" s="6" t="s">
        <v>207</v>
      </c>
      <c r="C2536" s="6" t="s">
        <v>383</v>
      </c>
      <c r="D2536" s="6" t="s">
        <v>251</v>
      </c>
      <c r="E2536" s="6" t="s">
        <v>37</v>
      </c>
      <c r="F2536" s="6" t="s">
        <v>384</v>
      </c>
      <c r="G2536" s="6" t="s">
        <v>385</v>
      </c>
      <c r="H2536" s="6" t="s">
        <v>386</v>
      </c>
      <c r="I2536" s="6" t="s">
        <v>213</v>
      </c>
      <c r="J2536" s="6">
        <v>16.386222996714999</v>
      </c>
      <c r="K2536" s="6">
        <v>-96.844455860758998</v>
      </c>
      <c r="L2536" s="6" t="str">
        <f>HYPERLINK("https://maps.google.com/?q=16.386222996715492,-96.844455860759382", "🔗 Ver Mapa")</f>
        <v>🔗 Ver Mapa</v>
      </c>
    </row>
    <row r="2537" spans="1:12" ht="43.5" x14ac:dyDescent="0.35">
      <c r="A2537" s="5" t="s">
        <v>206</v>
      </c>
      <c r="B2537" s="5" t="s">
        <v>207</v>
      </c>
      <c r="C2537" s="5" t="s">
        <v>383</v>
      </c>
      <c r="D2537" s="5" t="s">
        <v>251</v>
      </c>
      <c r="E2537" s="5" t="s">
        <v>37</v>
      </c>
      <c r="F2537" s="5" t="s">
        <v>384</v>
      </c>
      <c r="G2537" s="5" t="s">
        <v>385</v>
      </c>
      <c r="H2537" s="5" t="s">
        <v>386</v>
      </c>
      <c r="I2537" s="5" t="s">
        <v>213</v>
      </c>
      <c r="J2537" s="5">
        <v>16.386357781748998</v>
      </c>
      <c r="K2537" s="5">
        <v>-96.839910583101002</v>
      </c>
      <c r="L2537" s="5" t="str">
        <f>HYPERLINK("https://maps.google.com/?q=16.386357781748934,-96.839910583101286", "🔗 Ver Mapa")</f>
        <v>🔗 Ver Mapa</v>
      </c>
    </row>
    <row r="2538" spans="1:12" ht="43.5" x14ac:dyDescent="0.35">
      <c r="A2538" s="6" t="s">
        <v>206</v>
      </c>
      <c r="B2538" s="6" t="s">
        <v>207</v>
      </c>
      <c r="C2538" s="6" t="s">
        <v>383</v>
      </c>
      <c r="D2538" s="6" t="s">
        <v>251</v>
      </c>
      <c r="E2538" s="6" t="s">
        <v>37</v>
      </c>
      <c r="F2538" s="6" t="s">
        <v>384</v>
      </c>
      <c r="G2538" s="6" t="s">
        <v>385</v>
      </c>
      <c r="H2538" s="6" t="s">
        <v>386</v>
      </c>
      <c r="I2538" s="6" t="s">
        <v>213</v>
      </c>
      <c r="J2538" s="6">
        <v>16.386365820916001</v>
      </c>
      <c r="K2538" s="6">
        <v>-96.840465480156993</v>
      </c>
      <c r="L2538" s="6" t="str">
        <f>HYPERLINK("https://maps.google.com/?q=16.386365820916154,-96.840465480156951", "🔗 Ver Mapa")</f>
        <v>🔗 Ver Mapa</v>
      </c>
    </row>
    <row r="2539" spans="1:12" ht="43.5" x14ac:dyDescent="0.35">
      <c r="A2539" s="5" t="s">
        <v>206</v>
      </c>
      <c r="B2539" s="5" t="s">
        <v>207</v>
      </c>
      <c r="C2539" s="5" t="s">
        <v>383</v>
      </c>
      <c r="D2539" s="5" t="s">
        <v>251</v>
      </c>
      <c r="E2539" s="5" t="s">
        <v>37</v>
      </c>
      <c r="F2539" s="5" t="s">
        <v>384</v>
      </c>
      <c r="G2539" s="5" t="s">
        <v>385</v>
      </c>
      <c r="H2539" s="5" t="s">
        <v>386</v>
      </c>
      <c r="I2539" s="5" t="s">
        <v>213</v>
      </c>
      <c r="J2539" s="5">
        <v>16.386375600977001</v>
      </c>
      <c r="K2539" s="5">
        <v>-96.837407398530004</v>
      </c>
      <c r="L2539" s="5" t="str">
        <f>HYPERLINK("https://maps.google.com/?q=16.386375600977342,-96.837407398529649", "🔗 Ver Mapa")</f>
        <v>🔗 Ver Mapa</v>
      </c>
    </row>
    <row r="2540" spans="1:12" ht="43.5" x14ac:dyDescent="0.35">
      <c r="A2540" s="6" t="s">
        <v>206</v>
      </c>
      <c r="B2540" s="6" t="s">
        <v>207</v>
      </c>
      <c r="C2540" s="6" t="s">
        <v>383</v>
      </c>
      <c r="D2540" s="6" t="s">
        <v>251</v>
      </c>
      <c r="E2540" s="6" t="s">
        <v>37</v>
      </c>
      <c r="F2540" s="6" t="s">
        <v>384</v>
      </c>
      <c r="G2540" s="6" t="s">
        <v>385</v>
      </c>
      <c r="H2540" s="6" t="s">
        <v>386</v>
      </c>
      <c r="I2540" s="6" t="s">
        <v>213</v>
      </c>
      <c r="J2540" s="6">
        <v>16.386401993393001</v>
      </c>
      <c r="K2540" s="6">
        <v>-96.838819853700997</v>
      </c>
      <c r="L2540" s="6" t="str">
        <f>HYPERLINK("https://maps.google.com/?q=16.386401993393296,-96.838819853700585", "🔗 Ver Mapa")</f>
        <v>🔗 Ver Mapa</v>
      </c>
    </row>
    <row r="2541" spans="1:12" ht="43.5" x14ac:dyDescent="0.35">
      <c r="A2541" s="5" t="s">
        <v>206</v>
      </c>
      <c r="B2541" s="5" t="s">
        <v>207</v>
      </c>
      <c r="C2541" s="5" t="s">
        <v>383</v>
      </c>
      <c r="D2541" s="5" t="s">
        <v>251</v>
      </c>
      <c r="E2541" s="5" t="s">
        <v>37</v>
      </c>
      <c r="F2541" s="5" t="s">
        <v>384</v>
      </c>
      <c r="G2541" s="5" t="s">
        <v>385</v>
      </c>
      <c r="H2541" s="5" t="s">
        <v>386</v>
      </c>
      <c r="I2541" s="5" t="s">
        <v>213</v>
      </c>
      <c r="J2541" s="5">
        <v>16.386404723786001</v>
      </c>
      <c r="K2541" s="5">
        <v>-96.840612373192997</v>
      </c>
      <c r="L2541" s="5" t="str">
        <f>HYPERLINK("https://maps.google.com/?q=16.386404723785745,-96.840612373193011", "🔗 Ver Mapa")</f>
        <v>🔗 Ver Mapa</v>
      </c>
    </row>
    <row r="2542" spans="1:12" ht="43.5" x14ac:dyDescent="0.35">
      <c r="A2542" s="6" t="s">
        <v>206</v>
      </c>
      <c r="B2542" s="6" t="s">
        <v>207</v>
      </c>
      <c r="C2542" s="6" t="s">
        <v>383</v>
      </c>
      <c r="D2542" s="6" t="s">
        <v>251</v>
      </c>
      <c r="E2542" s="6" t="s">
        <v>37</v>
      </c>
      <c r="F2542" s="6" t="s">
        <v>384</v>
      </c>
      <c r="G2542" s="6" t="s">
        <v>385</v>
      </c>
      <c r="H2542" s="6" t="s">
        <v>386</v>
      </c>
      <c r="I2542" s="6" t="s">
        <v>213</v>
      </c>
      <c r="J2542" s="6">
        <v>16.386456363191002</v>
      </c>
      <c r="K2542" s="6">
        <v>-96.840586600056</v>
      </c>
      <c r="L2542" s="6" t="str">
        <f>HYPERLINK("https://maps.google.com/?q=16.38645636319113,-96.840586600055801", "🔗 Ver Mapa")</f>
        <v>🔗 Ver Mapa</v>
      </c>
    </row>
    <row r="2543" spans="1:12" ht="43.5" x14ac:dyDescent="0.35">
      <c r="A2543" s="5" t="s">
        <v>206</v>
      </c>
      <c r="B2543" s="5" t="s">
        <v>207</v>
      </c>
      <c r="C2543" s="5" t="s">
        <v>383</v>
      </c>
      <c r="D2543" s="5" t="s">
        <v>251</v>
      </c>
      <c r="E2543" s="5" t="s">
        <v>37</v>
      </c>
      <c r="F2543" s="5" t="s">
        <v>384</v>
      </c>
      <c r="G2543" s="5" t="s">
        <v>385</v>
      </c>
      <c r="H2543" s="5" t="s">
        <v>386</v>
      </c>
      <c r="I2543" s="5" t="s">
        <v>213</v>
      </c>
      <c r="J2543" s="5">
        <v>16.386470474287002</v>
      </c>
      <c r="K2543" s="5">
        <v>-96.837565596559003</v>
      </c>
      <c r="L2543" s="5" t="str">
        <f>HYPERLINK("https://maps.google.com/?q=16.386470474286572,-96.837565596558704", "🔗 Ver Mapa")</f>
        <v>🔗 Ver Mapa</v>
      </c>
    </row>
    <row r="2544" spans="1:12" ht="43.5" x14ac:dyDescent="0.35">
      <c r="A2544" s="6" t="s">
        <v>206</v>
      </c>
      <c r="B2544" s="6" t="s">
        <v>207</v>
      </c>
      <c r="C2544" s="6" t="s">
        <v>383</v>
      </c>
      <c r="D2544" s="6" t="s">
        <v>251</v>
      </c>
      <c r="E2544" s="6" t="s">
        <v>37</v>
      </c>
      <c r="F2544" s="6" t="s">
        <v>384</v>
      </c>
      <c r="G2544" s="6" t="s">
        <v>385</v>
      </c>
      <c r="H2544" s="6" t="s">
        <v>386</v>
      </c>
      <c r="I2544" s="6" t="s">
        <v>213</v>
      </c>
      <c r="J2544" s="6">
        <v>16.386584363748</v>
      </c>
      <c r="K2544" s="6">
        <v>-96.836098770259994</v>
      </c>
      <c r="L2544" s="6" t="str">
        <f>HYPERLINK("https://maps.google.com/?q=16.386584363748078,-96.836098770260492", "🔗 Ver Mapa")</f>
        <v>🔗 Ver Mapa</v>
      </c>
    </row>
    <row r="2545" spans="1:12" ht="43.5" x14ac:dyDescent="0.35">
      <c r="A2545" s="5" t="s">
        <v>206</v>
      </c>
      <c r="B2545" s="5" t="s">
        <v>207</v>
      </c>
      <c r="C2545" s="5" t="s">
        <v>383</v>
      </c>
      <c r="D2545" s="5" t="s">
        <v>251</v>
      </c>
      <c r="E2545" s="5" t="s">
        <v>37</v>
      </c>
      <c r="F2545" s="5" t="s">
        <v>384</v>
      </c>
      <c r="G2545" s="5" t="s">
        <v>385</v>
      </c>
      <c r="H2545" s="5" t="s">
        <v>386</v>
      </c>
      <c r="I2545" s="5" t="s">
        <v>213</v>
      </c>
      <c r="J2545" s="5">
        <v>16.386609618441</v>
      </c>
      <c r="K2545" s="5">
        <v>-96.837859228539998</v>
      </c>
      <c r="L2545" s="5" t="str">
        <f>HYPERLINK("https://maps.google.com/?q=16.38660961844052,-96.837859228540012", "🔗 Ver Mapa")</f>
        <v>🔗 Ver Mapa</v>
      </c>
    </row>
    <row r="2546" spans="1:12" ht="43.5" x14ac:dyDescent="0.35">
      <c r="A2546" s="6" t="s">
        <v>206</v>
      </c>
      <c r="B2546" s="6" t="s">
        <v>207</v>
      </c>
      <c r="C2546" s="6" t="s">
        <v>383</v>
      </c>
      <c r="D2546" s="6" t="s">
        <v>251</v>
      </c>
      <c r="E2546" s="6" t="s">
        <v>37</v>
      </c>
      <c r="F2546" s="6" t="s">
        <v>384</v>
      </c>
      <c r="G2546" s="6" t="s">
        <v>385</v>
      </c>
      <c r="H2546" s="6" t="s">
        <v>386</v>
      </c>
      <c r="I2546" s="6" t="s">
        <v>213</v>
      </c>
      <c r="J2546" s="6">
        <v>16.386677477568</v>
      </c>
      <c r="K2546" s="6">
        <v>-96.836308902057993</v>
      </c>
      <c r="L2546" s="6" t="str">
        <f>HYPERLINK("https://maps.google.com/?q=16.386677477567726,-96.836308902058263", "🔗 Ver Mapa")</f>
        <v>🔗 Ver Mapa</v>
      </c>
    </row>
    <row r="2547" spans="1:12" ht="43.5" x14ac:dyDescent="0.35">
      <c r="A2547" s="5" t="s">
        <v>206</v>
      </c>
      <c r="B2547" s="5" t="s">
        <v>207</v>
      </c>
      <c r="C2547" s="5" t="s">
        <v>383</v>
      </c>
      <c r="D2547" s="5" t="s">
        <v>251</v>
      </c>
      <c r="E2547" s="5" t="s">
        <v>37</v>
      </c>
      <c r="F2547" s="5" t="s">
        <v>384</v>
      </c>
      <c r="G2547" s="5" t="s">
        <v>385</v>
      </c>
      <c r="H2547" s="5" t="s">
        <v>386</v>
      </c>
      <c r="I2547" s="5" t="s">
        <v>213</v>
      </c>
      <c r="J2547" s="5">
        <v>16.386733496089001</v>
      </c>
      <c r="K2547" s="5">
        <v>-96.836603441606002</v>
      </c>
      <c r="L2547" s="5" t="str">
        <f>HYPERLINK("https://maps.google.com/?q=16.38673349608899,-96.836603441605618", "🔗 Ver Mapa")</f>
        <v>🔗 Ver Mapa</v>
      </c>
    </row>
    <row r="2548" spans="1:12" ht="43.5" x14ac:dyDescent="0.35">
      <c r="A2548" s="6" t="s">
        <v>206</v>
      </c>
      <c r="B2548" s="6" t="s">
        <v>207</v>
      </c>
      <c r="C2548" s="6" t="s">
        <v>383</v>
      </c>
      <c r="D2548" s="6" t="s">
        <v>251</v>
      </c>
      <c r="E2548" s="6" t="s">
        <v>37</v>
      </c>
      <c r="F2548" s="6" t="s">
        <v>384</v>
      </c>
      <c r="G2548" s="6" t="s">
        <v>385</v>
      </c>
      <c r="H2548" s="6" t="s">
        <v>386</v>
      </c>
      <c r="I2548" s="6" t="s">
        <v>213</v>
      </c>
      <c r="J2548" s="6">
        <v>16.386766615645001</v>
      </c>
      <c r="K2548" s="6">
        <v>-96.840445208857005</v>
      </c>
      <c r="L2548" s="6" t="str">
        <f>HYPERLINK("https://maps.google.com/?q=16.38676661564524,-96.840445208857119", "🔗 Ver Mapa")</f>
        <v>🔗 Ver Mapa</v>
      </c>
    </row>
    <row r="2549" spans="1:12" ht="43.5" x14ac:dyDescent="0.35">
      <c r="A2549" s="5" t="s">
        <v>206</v>
      </c>
      <c r="B2549" s="5" t="s">
        <v>207</v>
      </c>
      <c r="C2549" s="5" t="s">
        <v>383</v>
      </c>
      <c r="D2549" s="5" t="s">
        <v>251</v>
      </c>
      <c r="E2549" s="5" t="s">
        <v>37</v>
      </c>
      <c r="F2549" s="5" t="s">
        <v>384</v>
      </c>
      <c r="G2549" s="5" t="s">
        <v>385</v>
      </c>
      <c r="H2549" s="5" t="s">
        <v>386</v>
      </c>
      <c r="I2549" s="5" t="s">
        <v>213</v>
      </c>
      <c r="J2549" s="5">
        <v>16.386807721503001</v>
      </c>
      <c r="K2549" s="5">
        <v>-96.838191453294996</v>
      </c>
      <c r="L2549" s="5" t="str">
        <f>HYPERLINK("https://maps.google.com/?q=16.38680772150331,-96.838191453295394", "🔗 Ver Mapa")</f>
        <v>🔗 Ver Mapa</v>
      </c>
    </row>
    <row r="2550" spans="1:12" ht="43.5" x14ac:dyDescent="0.35">
      <c r="A2550" s="6" t="s">
        <v>206</v>
      </c>
      <c r="B2550" s="6" t="s">
        <v>207</v>
      </c>
      <c r="C2550" s="6" t="s">
        <v>383</v>
      </c>
      <c r="D2550" s="6" t="s">
        <v>251</v>
      </c>
      <c r="E2550" s="6" t="s">
        <v>37</v>
      </c>
      <c r="F2550" s="6" t="s">
        <v>384</v>
      </c>
      <c r="G2550" s="6" t="s">
        <v>385</v>
      </c>
      <c r="H2550" s="6" t="s">
        <v>386</v>
      </c>
      <c r="I2550" s="6" t="s">
        <v>213</v>
      </c>
      <c r="J2550" s="6">
        <v>16.386820668776</v>
      </c>
      <c r="K2550" s="6">
        <v>-96.837368223002997</v>
      </c>
      <c r="L2550" s="6" t="str">
        <f>HYPERLINK("https://maps.google.com/?q=16.38682066877627,-96.837368223003267", "🔗 Ver Mapa")</f>
        <v>🔗 Ver Mapa</v>
      </c>
    </row>
    <row r="2551" spans="1:12" ht="43.5" x14ac:dyDescent="0.35">
      <c r="A2551" s="5" t="s">
        <v>206</v>
      </c>
      <c r="B2551" s="5" t="s">
        <v>207</v>
      </c>
      <c r="C2551" s="5" t="s">
        <v>383</v>
      </c>
      <c r="D2551" s="5" t="s">
        <v>251</v>
      </c>
      <c r="E2551" s="5" t="s">
        <v>37</v>
      </c>
      <c r="F2551" s="5" t="s">
        <v>384</v>
      </c>
      <c r="G2551" s="5" t="s">
        <v>385</v>
      </c>
      <c r="H2551" s="5" t="s">
        <v>386</v>
      </c>
      <c r="I2551" s="5" t="s">
        <v>213</v>
      </c>
      <c r="J2551" s="5">
        <v>16.38683128205</v>
      </c>
      <c r="K2551" s="5">
        <v>-96.839275129380994</v>
      </c>
      <c r="L2551" s="5" t="str">
        <f>HYPERLINK("https://maps.google.com/?q=16.386831282049553,-96.839275129381221", "🔗 Ver Mapa")</f>
        <v>🔗 Ver Mapa</v>
      </c>
    </row>
    <row r="2552" spans="1:12" ht="43.5" x14ac:dyDescent="0.35">
      <c r="A2552" s="6" t="s">
        <v>206</v>
      </c>
      <c r="B2552" s="6" t="s">
        <v>207</v>
      </c>
      <c r="C2552" s="6" t="s">
        <v>383</v>
      </c>
      <c r="D2552" s="6" t="s">
        <v>251</v>
      </c>
      <c r="E2552" s="6" t="s">
        <v>37</v>
      </c>
      <c r="F2552" s="6" t="s">
        <v>384</v>
      </c>
      <c r="G2552" s="6" t="s">
        <v>385</v>
      </c>
      <c r="H2552" s="6" t="s">
        <v>386</v>
      </c>
      <c r="I2552" s="6" t="s">
        <v>213</v>
      </c>
      <c r="J2552" s="6">
        <v>16.386946831656999</v>
      </c>
      <c r="K2552" s="6">
        <v>-96.838270042057005</v>
      </c>
      <c r="L2552" s="6" t="str">
        <f>HYPERLINK("https://maps.google.com/?q=16.386946831656953,-96.83827004205699", "🔗 Ver Mapa")</f>
        <v>🔗 Ver Mapa</v>
      </c>
    </row>
    <row r="2553" spans="1:12" ht="43.5" x14ac:dyDescent="0.35">
      <c r="A2553" s="5" t="s">
        <v>206</v>
      </c>
      <c r="B2553" s="5" t="s">
        <v>207</v>
      </c>
      <c r="C2553" s="5" t="s">
        <v>383</v>
      </c>
      <c r="D2553" s="5" t="s">
        <v>251</v>
      </c>
      <c r="E2553" s="5" t="s">
        <v>37</v>
      </c>
      <c r="F2553" s="5" t="s">
        <v>384</v>
      </c>
      <c r="G2553" s="5" t="s">
        <v>385</v>
      </c>
      <c r="H2553" s="5" t="s">
        <v>386</v>
      </c>
      <c r="I2553" s="5" t="s">
        <v>213</v>
      </c>
      <c r="J2553" s="5">
        <v>16.386962241587</v>
      </c>
      <c r="K2553" s="5">
        <v>-96.838345315965995</v>
      </c>
      <c r="L2553" s="5" t="str">
        <f>HYPERLINK("https://maps.google.com/?q=16.386962241586705,-96.838345315966478", "🔗 Ver Mapa")</f>
        <v>🔗 Ver Mapa</v>
      </c>
    </row>
    <row r="2554" spans="1:12" ht="43.5" x14ac:dyDescent="0.35">
      <c r="A2554" s="6" t="s">
        <v>206</v>
      </c>
      <c r="B2554" s="6" t="s">
        <v>207</v>
      </c>
      <c r="C2554" s="6" t="s">
        <v>383</v>
      </c>
      <c r="D2554" s="6" t="s">
        <v>251</v>
      </c>
      <c r="E2554" s="6" t="s">
        <v>37</v>
      </c>
      <c r="F2554" s="6" t="s">
        <v>384</v>
      </c>
      <c r="G2554" s="6" t="s">
        <v>385</v>
      </c>
      <c r="H2554" s="6" t="s">
        <v>386</v>
      </c>
      <c r="I2554" s="6" t="s">
        <v>213</v>
      </c>
      <c r="J2554" s="6">
        <v>16.387020163810998</v>
      </c>
      <c r="K2554" s="6">
        <v>-96.838624926758001</v>
      </c>
      <c r="L2554" s="6" t="str">
        <f>HYPERLINK("https://maps.google.com/?q=16.38702016381129,-96.838624926758257", "🔗 Ver Mapa")</f>
        <v>🔗 Ver Mapa</v>
      </c>
    </row>
    <row r="2555" spans="1:12" ht="43.5" x14ac:dyDescent="0.35">
      <c r="A2555" s="5" t="s">
        <v>206</v>
      </c>
      <c r="B2555" s="5" t="s">
        <v>207</v>
      </c>
      <c r="C2555" s="5" t="s">
        <v>383</v>
      </c>
      <c r="D2555" s="5" t="s">
        <v>251</v>
      </c>
      <c r="E2555" s="5" t="s">
        <v>37</v>
      </c>
      <c r="F2555" s="5" t="s">
        <v>384</v>
      </c>
      <c r="G2555" s="5" t="s">
        <v>385</v>
      </c>
      <c r="H2555" s="5" t="s">
        <v>386</v>
      </c>
      <c r="I2555" s="5" t="s">
        <v>213</v>
      </c>
      <c r="J2555" s="5">
        <v>16.387025124754</v>
      </c>
      <c r="K2555" s="5">
        <v>-96.839316886256995</v>
      </c>
      <c r="L2555" s="5" t="str">
        <f>HYPERLINK("https://maps.google.com/?q=16.387025124753556,-96.839316886256938", "🔗 Ver Mapa")</f>
        <v>🔗 Ver Mapa</v>
      </c>
    </row>
    <row r="2556" spans="1:12" ht="43.5" x14ac:dyDescent="0.35">
      <c r="A2556" s="6" t="s">
        <v>206</v>
      </c>
      <c r="B2556" s="6" t="s">
        <v>207</v>
      </c>
      <c r="C2556" s="6" t="s">
        <v>383</v>
      </c>
      <c r="D2556" s="6" t="s">
        <v>251</v>
      </c>
      <c r="E2556" s="6" t="s">
        <v>37</v>
      </c>
      <c r="F2556" s="6" t="s">
        <v>384</v>
      </c>
      <c r="G2556" s="6" t="s">
        <v>385</v>
      </c>
      <c r="H2556" s="6" t="s">
        <v>386</v>
      </c>
      <c r="I2556" s="6" t="s">
        <v>213</v>
      </c>
      <c r="J2556" s="6">
        <v>16.387027496144999</v>
      </c>
      <c r="K2556" s="6">
        <v>-96.838543692863993</v>
      </c>
      <c r="L2556" s="6" t="str">
        <f>HYPERLINK("https://maps.google.com/?q=16.3870274961446,-96.838543692864491", "🔗 Ver Mapa")</f>
        <v>🔗 Ver Mapa</v>
      </c>
    </row>
    <row r="2557" spans="1:12" ht="43.5" x14ac:dyDescent="0.35">
      <c r="A2557" s="5" t="s">
        <v>206</v>
      </c>
      <c r="B2557" s="5" t="s">
        <v>207</v>
      </c>
      <c r="C2557" s="5" t="s">
        <v>383</v>
      </c>
      <c r="D2557" s="5" t="s">
        <v>251</v>
      </c>
      <c r="E2557" s="5" t="s">
        <v>37</v>
      </c>
      <c r="F2557" s="5" t="s">
        <v>384</v>
      </c>
      <c r="G2557" s="5" t="s">
        <v>385</v>
      </c>
      <c r="H2557" s="5" t="s">
        <v>386</v>
      </c>
      <c r="I2557" s="5" t="s">
        <v>213</v>
      </c>
      <c r="J2557" s="5">
        <v>16.387055644764999</v>
      </c>
      <c r="K2557" s="5">
        <v>-96.836920565905004</v>
      </c>
      <c r="L2557" s="5" t="str">
        <f>HYPERLINK("https://maps.google.com/?q=16.38705564476464,-96.836920565905402", "🔗 Ver Mapa")</f>
        <v>🔗 Ver Mapa</v>
      </c>
    </row>
    <row r="2558" spans="1:12" ht="43.5" x14ac:dyDescent="0.35">
      <c r="A2558" s="6" t="s">
        <v>206</v>
      </c>
      <c r="B2558" s="6" t="s">
        <v>207</v>
      </c>
      <c r="C2558" s="6" t="s">
        <v>383</v>
      </c>
      <c r="D2558" s="6" t="s">
        <v>251</v>
      </c>
      <c r="E2558" s="6" t="s">
        <v>37</v>
      </c>
      <c r="F2558" s="6" t="s">
        <v>384</v>
      </c>
      <c r="G2558" s="6" t="s">
        <v>385</v>
      </c>
      <c r="H2558" s="6" t="s">
        <v>386</v>
      </c>
      <c r="I2558" s="6" t="s">
        <v>213</v>
      </c>
      <c r="J2558" s="6">
        <v>16.387064634434001</v>
      </c>
      <c r="K2558" s="6">
        <v>-96.838785113826006</v>
      </c>
      <c r="L2558" s="6" t="str">
        <f>HYPERLINK("https://maps.google.com/?q=16.387064634433536,-96.838785113825764", "🔗 Ver Mapa")</f>
        <v>🔗 Ver Mapa</v>
      </c>
    </row>
    <row r="2559" spans="1:12" ht="43.5" x14ac:dyDescent="0.35">
      <c r="A2559" s="5" t="s">
        <v>206</v>
      </c>
      <c r="B2559" s="5" t="s">
        <v>207</v>
      </c>
      <c r="C2559" s="5" t="s">
        <v>383</v>
      </c>
      <c r="D2559" s="5" t="s">
        <v>251</v>
      </c>
      <c r="E2559" s="5" t="s">
        <v>37</v>
      </c>
      <c r="F2559" s="5" t="s">
        <v>384</v>
      </c>
      <c r="G2559" s="5" t="s">
        <v>385</v>
      </c>
      <c r="H2559" s="5" t="s">
        <v>386</v>
      </c>
      <c r="I2559" s="5" t="s">
        <v>213</v>
      </c>
      <c r="J2559" s="5">
        <v>16.387122790288</v>
      </c>
      <c r="K2559" s="5">
        <v>-96.838858063287006</v>
      </c>
      <c r="L2559" s="5" t="str">
        <f>HYPERLINK("https://maps.google.com/?q=16.387122790287897,-96.838858063287034", "🔗 Ver Mapa")</f>
        <v>🔗 Ver Mapa</v>
      </c>
    </row>
    <row r="2560" spans="1:12" ht="43.5" x14ac:dyDescent="0.35">
      <c r="A2560" s="6" t="s">
        <v>206</v>
      </c>
      <c r="B2560" s="6" t="s">
        <v>207</v>
      </c>
      <c r="C2560" s="6" t="s">
        <v>383</v>
      </c>
      <c r="D2560" s="6" t="s">
        <v>251</v>
      </c>
      <c r="E2560" s="6" t="s">
        <v>37</v>
      </c>
      <c r="F2560" s="6" t="s">
        <v>384</v>
      </c>
      <c r="G2560" s="6" t="s">
        <v>385</v>
      </c>
      <c r="H2560" s="6" t="s">
        <v>386</v>
      </c>
      <c r="I2560" s="6" t="s">
        <v>213</v>
      </c>
      <c r="J2560" s="6">
        <v>16.387158900842</v>
      </c>
      <c r="K2560" s="6">
        <v>-96.837058390400998</v>
      </c>
      <c r="L2560" s="6" t="str">
        <f>HYPERLINK("https://maps.google.com/?q=16.387158900842294,-96.837058390401481", "🔗 Ver Mapa")</f>
        <v>🔗 Ver Mapa</v>
      </c>
    </row>
    <row r="2561" spans="1:12" ht="43.5" x14ac:dyDescent="0.35">
      <c r="A2561" s="5" t="s">
        <v>206</v>
      </c>
      <c r="B2561" s="5" t="s">
        <v>207</v>
      </c>
      <c r="C2561" s="5" t="s">
        <v>383</v>
      </c>
      <c r="D2561" s="5" t="s">
        <v>251</v>
      </c>
      <c r="E2561" s="5" t="s">
        <v>37</v>
      </c>
      <c r="F2561" s="5" t="s">
        <v>384</v>
      </c>
      <c r="G2561" s="5" t="s">
        <v>385</v>
      </c>
      <c r="H2561" s="5" t="s">
        <v>386</v>
      </c>
      <c r="I2561" s="5" t="s">
        <v>213</v>
      </c>
      <c r="J2561" s="5">
        <v>16.387207690615</v>
      </c>
      <c r="K2561" s="5">
        <v>-96.839058676009003</v>
      </c>
      <c r="L2561" s="5" t="str">
        <f>HYPERLINK("https://maps.google.com/?q=16.387207690615032,-96.839058676008648", "🔗 Ver Mapa")</f>
        <v>🔗 Ver Mapa</v>
      </c>
    </row>
    <row r="2562" spans="1:12" ht="43.5" x14ac:dyDescent="0.35">
      <c r="A2562" s="6" t="s">
        <v>206</v>
      </c>
      <c r="B2562" s="6" t="s">
        <v>207</v>
      </c>
      <c r="C2562" s="6" t="s">
        <v>383</v>
      </c>
      <c r="D2562" s="6" t="s">
        <v>251</v>
      </c>
      <c r="E2562" s="6" t="s">
        <v>37</v>
      </c>
      <c r="F2562" s="6" t="s">
        <v>384</v>
      </c>
      <c r="G2562" s="6" t="s">
        <v>385</v>
      </c>
      <c r="H2562" s="6" t="s">
        <v>386</v>
      </c>
      <c r="I2562" s="6" t="s">
        <v>213</v>
      </c>
      <c r="J2562" s="6">
        <v>16.387233482864001</v>
      </c>
      <c r="K2562" s="6">
        <v>-96.837396685963</v>
      </c>
      <c r="L2562" s="6" t="str">
        <f>HYPERLINK("https://maps.google.com/?q=16.38723348286428,-96.837396685963114", "🔗 Ver Mapa")</f>
        <v>🔗 Ver Mapa</v>
      </c>
    </row>
    <row r="2563" spans="1:12" ht="43.5" x14ac:dyDescent="0.35">
      <c r="A2563" s="5" t="s">
        <v>206</v>
      </c>
      <c r="B2563" s="5" t="s">
        <v>207</v>
      </c>
      <c r="C2563" s="5" t="s">
        <v>383</v>
      </c>
      <c r="D2563" s="5" t="s">
        <v>251</v>
      </c>
      <c r="E2563" s="5" t="s">
        <v>37</v>
      </c>
      <c r="F2563" s="5" t="s">
        <v>384</v>
      </c>
      <c r="G2563" s="5" t="s">
        <v>385</v>
      </c>
      <c r="H2563" s="5" t="s">
        <v>386</v>
      </c>
      <c r="I2563" s="5" t="s">
        <v>213</v>
      </c>
      <c r="J2563" s="5">
        <v>16.387236477190001</v>
      </c>
      <c r="K2563" s="5">
        <v>-96.840221438287998</v>
      </c>
      <c r="L2563" s="5" t="str">
        <f>HYPERLINK("https://maps.google.com/?q=16.387236477190136,-96.840221438288097", "🔗 Ver Mapa")</f>
        <v>🔗 Ver Mapa</v>
      </c>
    </row>
    <row r="2564" spans="1:12" ht="43.5" x14ac:dyDescent="0.35">
      <c r="A2564" s="6" t="s">
        <v>206</v>
      </c>
      <c r="B2564" s="6" t="s">
        <v>207</v>
      </c>
      <c r="C2564" s="6" t="s">
        <v>383</v>
      </c>
      <c r="D2564" s="6" t="s">
        <v>251</v>
      </c>
      <c r="E2564" s="6" t="s">
        <v>37</v>
      </c>
      <c r="F2564" s="6" t="s">
        <v>384</v>
      </c>
      <c r="G2564" s="6" t="s">
        <v>385</v>
      </c>
      <c r="H2564" s="6" t="s">
        <v>386</v>
      </c>
      <c r="I2564" s="6" t="s">
        <v>213</v>
      </c>
      <c r="J2564" s="6">
        <v>16.387249449591</v>
      </c>
      <c r="K2564" s="6">
        <v>-96.839247784942003</v>
      </c>
      <c r="L2564" s="6" t="str">
        <f>HYPERLINK("https://maps.google.com/?q=16.387249449591156,-96.839247784941634", "🔗 Ver Mapa")</f>
        <v>🔗 Ver Mapa</v>
      </c>
    </row>
    <row r="2565" spans="1:12" ht="43.5" x14ac:dyDescent="0.35">
      <c r="A2565" s="5" t="s">
        <v>206</v>
      </c>
      <c r="B2565" s="5" t="s">
        <v>207</v>
      </c>
      <c r="C2565" s="5" t="s">
        <v>383</v>
      </c>
      <c r="D2565" s="5" t="s">
        <v>251</v>
      </c>
      <c r="E2565" s="5" t="s">
        <v>37</v>
      </c>
      <c r="F2565" s="5" t="s">
        <v>384</v>
      </c>
      <c r="G2565" s="5" t="s">
        <v>385</v>
      </c>
      <c r="H2565" s="5" t="s">
        <v>386</v>
      </c>
      <c r="I2565" s="5" t="s">
        <v>213</v>
      </c>
      <c r="J2565" s="5">
        <v>16.387293250094</v>
      </c>
      <c r="K2565" s="5">
        <v>-96.839653198806005</v>
      </c>
      <c r="L2565" s="5" t="str">
        <f>HYPERLINK("https://maps.google.com/?q=16.38729325009442,-96.839653198806346", "🔗 Ver Mapa")</f>
        <v>🔗 Ver Mapa</v>
      </c>
    </row>
    <row r="2566" spans="1:12" ht="43.5" x14ac:dyDescent="0.35">
      <c r="A2566" s="6" t="s">
        <v>206</v>
      </c>
      <c r="B2566" s="6" t="s">
        <v>207</v>
      </c>
      <c r="C2566" s="6" t="s">
        <v>383</v>
      </c>
      <c r="D2566" s="6" t="s">
        <v>251</v>
      </c>
      <c r="E2566" s="6" t="s">
        <v>37</v>
      </c>
      <c r="F2566" s="6" t="s">
        <v>384</v>
      </c>
      <c r="G2566" s="6" t="s">
        <v>385</v>
      </c>
      <c r="H2566" s="6" t="s">
        <v>386</v>
      </c>
      <c r="I2566" s="6" t="s">
        <v>213</v>
      </c>
      <c r="J2566" s="6">
        <v>16.387295029680999</v>
      </c>
      <c r="K2566" s="6">
        <v>-96.839326947377998</v>
      </c>
      <c r="L2566" s="6" t="str">
        <f>HYPERLINK("https://maps.google.com/?q=16.38729502968129,-96.839326947378026", "🔗 Ver Mapa")</f>
        <v>🔗 Ver Mapa</v>
      </c>
    </row>
    <row r="2567" spans="1:12" ht="43.5" x14ac:dyDescent="0.35">
      <c r="A2567" s="5" t="s">
        <v>206</v>
      </c>
      <c r="B2567" s="5" t="s">
        <v>207</v>
      </c>
      <c r="C2567" s="5" t="s">
        <v>383</v>
      </c>
      <c r="D2567" s="5" t="s">
        <v>251</v>
      </c>
      <c r="E2567" s="5" t="s">
        <v>37</v>
      </c>
      <c r="F2567" s="5" t="s">
        <v>384</v>
      </c>
      <c r="G2567" s="5" t="s">
        <v>385</v>
      </c>
      <c r="H2567" s="5" t="s">
        <v>386</v>
      </c>
      <c r="I2567" s="5" t="s">
        <v>213</v>
      </c>
      <c r="J2567" s="5">
        <v>16.387362647743998</v>
      </c>
      <c r="K2567" s="5">
        <v>-96.839372061603001</v>
      </c>
      <c r="L2567" s="5" t="str">
        <f>HYPERLINK("https://maps.google.com/?q=16.38736264774354,-96.839372061602802", "🔗 Ver Mapa")</f>
        <v>🔗 Ver Mapa</v>
      </c>
    </row>
    <row r="2568" spans="1:12" ht="43.5" x14ac:dyDescent="0.35">
      <c r="A2568" s="6" t="s">
        <v>206</v>
      </c>
      <c r="B2568" s="6" t="s">
        <v>207</v>
      </c>
      <c r="C2568" s="6" t="s">
        <v>383</v>
      </c>
      <c r="D2568" s="6" t="s">
        <v>251</v>
      </c>
      <c r="E2568" s="6" t="s">
        <v>37</v>
      </c>
      <c r="F2568" s="6" t="s">
        <v>384</v>
      </c>
      <c r="G2568" s="6" t="s">
        <v>385</v>
      </c>
      <c r="H2568" s="6" t="s">
        <v>386</v>
      </c>
      <c r="I2568" s="6" t="s">
        <v>213</v>
      </c>
      <c r="J2568" s="6">
        <v>16.387377388048002</v>
      </c>
      <c r="K2568" s="6">
        <v>-96.839219541456004</v>
      </c>
      <c r="L2568" s="6" t="str">
        <f>HYPERLINK("https://maps.google.com/?q=16.387377388048478,-96.839219541455819", "🔗 Ver Mapa")</f>
        <v>🔗 Ver Mapa</v>
      </c>
    </row>
    <row r="2569" spans="1:12" ht="43.5" x14ac:dyDescent="0.35">
      <c r="A2569" s="5" t="s">
        <v>206</v>
      </c>
      <c r="B2569" s="5" t="s">
        <v>207</v>
      </c>
      <c r="C2569" s="5" t="s">
        <v>383</v>
      </c>
      <c r="D2569" s="5" t="s">
        <v>251</v>
      </c>
      <c r="E2569" s="5" t="s">
        <v>37</v>
      </c>
      <c r="F2569" s="5" t="s">
        <v>384</v>
      </c>
      <c r="G2569" s="5" t="s">
        <v>385</v>
      </c>
      <c r="H2569" s="5" t="s">
        <v>386</v>
      </c>
      <c r="I2569" s="5" t="s">
        <v>213</v>
      </c>
      <c r="J2569" s="5">
        <v>16.387398515263001</v>
      </c>
      <c r="K2569" s="5">
        <v>-96.839913757627997</v>
      </c>
      <c r="L2569" s="5" t="str">
        <f>HYPERLINK("https://maps.google.com/?q=16.387398515263225,-96.839913757627528", "🔗 Ver Mapa")</f>
        <v>🔗 Ver Mapa</v>
      </c>
    </row>
    <row r="2570" spans="1:12" ht="43.5" x14ac:dyDescent="0.35">
      <c r="A2570" s="6" t="s">
        <v>206</v>
      </c>
      <c r="B2570" s="6" t="s">
        <v>207</v>
      </c>
      <c r="C2570" s="6" t="s">
        <v>383</v>
      </c>
      <c r="D2570" s="6" t="s">
        <v>251</v>
      </c>
      <c r="E2570" s="6" t="s">
        <v>37</v>
      </c>
      <c r="F2570" s="6" t="s">
        <v>384</v>
      </c>
      <c r="G2570" s="6" t="s">
        <v>385</v>
      </c>
      <c r="H2570" s="6" t="s">
        <v>386</v>
      </c>
      <c r="I2570" s="6" t="s">
        <v>213</v>
      </c>
      <c r="J2570" s="6">
        <v>16.387483908118998</v>
      </c>
      <c r="K2570" s="6">
        <v>-96.838897057685003</v>
      </c>
      <c r="L2570" s="6" t="str">
        <f>HYPERLINK("https://maps.google.com/?q=16.387483908118945,-96.838897057684633", "🔗 Ver Mapa")</f>
        <v>🔗 Ver Mapa</v>
      </c>
    </row>
    <row r="2571" spans="1:12" ht="43.5" x14ac:dyDescent="0.35">
      <c r="A2571" s="5" t="s">
        <v>206</v>
      </c>
      <c r="B2571" s="5" t="s">
        <v>207</v>
      </c>
      <c r="C2571" s="5" t="s">
        <v>383</v>
      </c>
      <c r="D2571" s="5" t="s">
        <v>251</v>
      </c>
      <c r="E2571" s="5" t="s">
        <v>37</v>
      </c>
      <c r="F2571" s="5" t="s">
        <v>384</v>
      </c>
      <c r="G2571" s="5" t="s">
        <v>385</v>
      </c>
      <c r="H2571" s="5" t="s">
        <v>386</v>
      </c>
      <c r="I2571" s="5" t="s">
        <v>213</v>
      </c>
      <c r="J2571" s="5">
        <v>16.387490785160999</v>
      </c>
      <c r="K2571" s="5">
        <v>-96.838517496264998</v>
      </c>
      <c r="L2571" s="5" t="str">
        <f>HYPERLINK("https://maps.google.com/?q=16.38749078516132,-96.838517496264529", "🔗 Ver Mapa")</f>
        <v>🔗 Ver Mapa</v>
      </c>
    </row>
    <row r="2572" spans="1:12" ht="43.5" x14ac:dyDescent="0.35">
      <c r="A2572" s="6" t="s">
        <v>206</v>
      </c>
      <c r="B2572" s="6" t="s">
        <v>207</v>
      </c>
      <c r="C2572" s="6" t="s">
        <v>383</v>
      </c>
      <c r="D2572" s="6" t="s">
        <v>251</v>
      </c>
      <c r="E2572" s="6" t="s">
        <v>37</v>
      </c>
      <c r="F2572" s="6" t="s">
        <v>384</v>
      </c>
      <c r="G2572" s="6" t="s">
        <v>385</v>
      </c>
      <c r="H2572" s="6" t="s">
        <v>386</v>
      </c>
      <c r="I2572" s="6" t="s">
        <v>213</v>
      </c>
      <c r="J2572" s="6">
        <v>16.387493484058002</v>
      </c>
      <c r="K2572" s="6">
        <v>-96.839492194364993</v>
      </c>
      <c r="L2572" s="6" t="str">
        <f>HYPERLINK("https://maps.google.com/?q=16.387493484057615,-96.839492194364638", "🔗 Ver Mapa")</f>
        <v>🔗 Ver Mapa</v>
      </c>
    </row>
    <row r="2573" spans="1:12" ht="43.5" x14ac:dyDescent="0.35">
      <c r="A2573" s="5" t="s">
        <v>206</v>
      </c>
      <c r="B2573" s="5" t="s">
        <v>207</v>
      </c>
      <c r="C2573" s="5" t="s">
        <v>383</v>
      </c>
      <c r="D2573" s="5" t="s">
        <v>251</v>
      </c>
      <c r="E2573" s="5" t="s">
        <v>37</v>
      </c>
      <c r="F2573" s="5" t="s">
        <v>384</v>
      </c>
      <c r="G2573" s="5" t="s">
        <v>385</v>
      </c>
      <c r="H2573" s="5" t="s">
        <v>386</v>
      </c>
      <c r="I2573" s="5" t="s">
        <v>213</v>
      </c>
      <c r="J2573" s="5">
        <v>16.387498496260001</v>
      </c>
      <c r="K2573" s="5">
        <v>-96.839564981422996</v>
      </c>
      <c r="L2573" s="5" t="str">
        <f>HYPERLINK("https://maps.google.com/?q=16.387498496259578,-96.839564981422953", "🔗 Ver Mapa")</f>
        <v>🔗 Ver Mapa</v>
      </c>
    </row>
    <row r="2574" spans="1:12" ht="43.5" x14ac:dyDescent="0.35">
      <c r="A2574" s="6" t="s">
        <v>206</v>
      </c>
      <c r="B2574" s="6" t="s">
        <v>207</v>
      </c>
      <c r="C2574" s="6" t="s">
        <v>383</v>
      </c>
      <c r="D2574" s="6" t="s">
        <v>251</v>
      </c>
      <c r="E2574" s="6" t="s">
        <v>37</v>
      </c>
      <c r="F2574" s="6" t="s">
        <v>384</v>
      </c>
      <c r="G2574" s="6" t="s">
        <v>385</v>
      </c>
      <c r="H2574" s="6" t="s">
        <v>386</v>
      </c>
      <c r="I2574" s="6" t="s">
        <v>213</v>
      </c>
      <c r="J2574" s="6">
        <v>16.387512948234001</v>
      </c>
      <c r="K2574" s="6">
        <v>-96.839737882286997</v>
      </c>
      <c r="L2574" s="6" t="str">
        <f>HYPERLINK("https://maps.google.com/?q=16.387512948234168,-96.83973788228657", "🔗 Ver Mapa")</f>
        <v>🔗 Ver Mapa</v>
      </c>
    </row>
    <row r="2575" spans="1:12" ht="43.5" x14ac:dyDescent="0.35">
      <c r="A2575" s="5" t="s">
        <v>206</v>
      </c>
      <c r="B2575" s="5" t="s">
        <v>207</v>
      </c>
      <c r="C2575" s="5" t="s">
        <v>383</v>
      </c>
      <c r="D2575" s="5" t="s">
        <v>251</v>
      </c>
      <c r="E2575" s="5" t="s">
        <v>37</v>
      </c>
      <c r="F2575" s="5" t="s">
        <v>384</v>
      </c>
      <c r="G2575" s="5" t="s">
        <v>385</v>
      </c>
      <c r="H2575" s="5" t="s">
        <v>386</v>
      </c>
      <c r="I2575" s="5" t="s">
        <v>213</v>
      </c>
      <c r="J2575" s="5">
        <v>16.38755488252</v>
      </c>
      <c r="K2575" s="5">
        <v>-96.837954734597005</v>
      </c>
      <c r="L2575" s="5" t="str">
        <f>HYPERLINK("https://maps.google.com/?q=16.38755488252034,-96.837954734597446", "🔗 Ver Mapa")</f>
        <v>🔗 Ver Mapa</v>
      </c>
    </row>
    <row r="2576" spans="1:12" ht="43.5" x14ac:dyDescent="0.35">
      <c r="A2576" s="6" t="s">
        <v>206</v>
      </c>
      <c r="B2576" s="6" t="s">
        <v>207</v>
      </c>
      <c r="C2576" s="6" t="s">
        <v>383</v>
      </c>
      <c r="D2576" s="6" t="s">
        <v>251</v>
      </c>
      <c r="E2576" s="6" t="s">
        <v>37</v>
      </c>
      <c r="F2576" s="6" t="s">
        <v>384</v>
      </c>
      <c r="G2576" s="6" t="s">
        <v>385</v>
      </c>
      <c r="H2576" s="6" t="s">
        <v>386</v>
      </c>
      <c r="I2576" s="6" t="s">
        <v>213</v>
      </c>
      <c r="J2576" s="6">
        <v>16.387581619976</v>
      </c>
      <c r="K2576" s="6">
        <v>-96.839524138740003</v>
      </c>
      <c r="L2576" s="6" t="str">
        <f>HYPERLINK("https://maps.google.com/?q=16.38758161997636,-96.839524138739577", "🔗 Ver Mapa")</f>
        <v>🔗 Ver Mapa</v>
      </c>
    </row>
    <row r="2577" spans="1:12" ht="43.5" x14ac:dyDescent="0.35">
      <c r="A2577" s="5" t="s">
        <v>206</v>
      </c>
      <c r="B2577" s="5" t="s">
        <v>207</v>
      </c>
      <c r="C2577" s="5" t="s">
        <v>383</v>
      </c>
      <c r="D2577" s="5" t="s">
        <v>251</v>
      </c>
      <c r="E2577" s="5" t="s">
        <v>37</v>
      </c>
      <c r="F2577" s="5" t="s">
        <v>384</v>
      </c>
      <c r="G2577" s="5" t="s">
        <v>385</v>
      </c>
      <c r="H2577" s="5" t="s">
        <v>386</v>
      </c>
      <c r="I2577" s="5" t="s">
        <v>213</v>
      </c>
      <c r="J2577" s="5">
        <v>16.387593276914998</v>
      </c>
      <c r="K2577" s="5">
        <v>-96.837604774669003</v>
      </c>
      <c r="L2577" s="5" t="str">
        <f>HYPERLINK("https://maps.google.com/?q=16.3875932769149,-96.837604774668762", "🔗 Ver Mapa")</f>
        <v>🔗 Ver Mapa</v>
      </c>
    </row>
    <row r="2578" spans="1:12" ht="43.5" x14ac:dyDescent="0.35">
      <c r="A2578" s="6" t="s">
        <v>206</v>
      </c>
      <c r="B2578" s="6" t="s">
        <v>207</v>
      </c>
      <c r="C2578" s="6" t="s">
        <v>383</v>
      </c>
      <c r="D2578" s="6" t="s">
        <v>251</v>
      </c>
      <c r="E2578" s="6" t="s">
        <v>37</v>
      </c>
      <c r="F2578" s="6" t="s">
        <v>384</v>
      </c>
      <c r="G2578" s="6" t="s">
        <v>385</v>
      </c>
      <c r="H2578" s="6" t="s">
        <v>386</v>
      </c>
      <c r="I2578" s="6" t="s">
        <v>213</v>
      </c>
      <c r="J2578" s="6">
        <v>16.387960707278999</v>
      </c>
      <c r="K2578" s="6">
        <v>-96.837831526231994</v>
      </c>
      <c r="L2578" s="6" t="str">
        <f>HYPERLINK("https://maps.google.com/?q=16.387960707279092,-96.837831526231994", "🔗 Ver Mapa")</f>
        <v>🔗 Ver Mapa</v>
      </c>
    </row>
    <row r="2579" spans="1:12" ht="43.5" x14ac:dyDescent="0.35">
      <c r="A2579" s="5" t="s">
        <v>206</v>
      </c>
      <c r="B2579" s="5" t="s">
        <v>207</v>
      </c>
      <c r="C2579" s="5" t="s">
        <v>383</v>
      </c>
      <c r="D2579" s="5" t="s">
        <v>251</v>
      </c>
      <c r="E2579" s="5" t="s">
        <v>37</v>
      </c>
      <c r="F2579" s="5" t="s">
        <v>384</v>
      </c>
      <c r="G2579" s="5" t="s">
        <v>385</v>
      </c>
      <c r="H2579" s="5" t="s">
        <v>386</v>
      </c>
      <c r="I2579" s="5" t="s">
        <v>213</v>
      </c>
      <c r="J2579" s="5">
        <v>16.38803736413</v>
      </c>
      <c r="K2579" s="5">
        <v>-96.837328822746002</v>
      </c>
      <c r="L2579" s="5" t="str">
        <f>HYPERLINK("https://maps.google.com/?q=16.38803736413032,-96.837328822746088", "🔗 Ver Mapa")</f>
        <v>🔗 Ver Mapa</v>
      </c>
    </row>
    <row r="2580" spans="1:12" ht="43.5" x14ac:dyDescent="0.35">
      <c r="A2580" s="6" t="s">
        <v>206</v>
      </c>
      <c r="B2580" s="6" t="s">
        <v>207</v>
      </c>
      <c r="C2580" s="6" t="s">
        <v>383</v>
      </c>
      <c r="D2580" s="6" t="s">
        <v>251</v>
      </c>
      <c r="E2580" s="6" t="s">
        <v>37</v>
      </c>
      <c r="F2580" s="6" t="s">
        <v>384</v>
      </c>
      <c r="G2580" s="6" t="s">
        <v>385</v>
      </c>
      <c r="H2580" s="6" t="s">
        <v>386</v>
      </c>
      <c r="I2580" s="6" t="s">
        <v>213</v>
      </c>
      <c r="J2580" s="6">
        <v>16.388109819581</v>
      </c>
      <c r="K2580" s="6">
        <v>-96.837974320984998</v>
      </c>
      <c r="L2580" s="6" t="str">
        <f>HYPERLINK("https://maps.google.com/?q=16.388109819580713,-96.837974320985325", "🔗 Ver Mapa")</f>
        <v>🔗 Ver Mapa</v>
      </c>
    </row>
    <row r="2581" spans="1:12" ht="43.5" x14ac:dyDescent="0.35">
      <c r="A2581" s="5" t="s">
        <v>206</v>
      </c>
      <c r="B2581" s="5" t="s">
        <v>207</v>
      </c>
      <c r="C2581" s="5" t="s">
        <v>383</v>
      </c>
      <c r="D2581" s="5" t="s">
        <v>251</v>
      </c>
      <c r="E2581" s="5" t="s">
        <v>37</v>
      </c>
      <c r="F2581" s="5" t="s">
        <v>384</v>
      </c>
      <c r="G2581" s="5" t="s">
        <v>385</v>
      </c>
      <c r="H2581" s="5" t="s">
        <v>386</v>
      </c>
      <c r="I2581" s="5" t="s">
        <v>213</v>
      </c>
      <c r="J2581" s="5">
        <v>16.388326444806999</v>
      </c>
      <c r="K2581" s="5">
        <v>-96.838461322729998</v>
      </c>
      <c r="L2581" s="5" t="str">
        <f>HYPERLINK("https://maps.google.com/?q=16.38832644480746,-96.83846132273041", "🔗 Ver Mapa")</f>
        <v>🔗 Ver Mapa</v>
      </c>
    </row>
    <row r="2582" spans="1:12" ht="43.5" x14ac:dyDescent="0.35">
      <c r="A2582" s="6" t="s">
        <v>206</v>
      </c>
      <c r="B2582" s="6" t="s">
        <v>207</v>
      </c>
      <c r="C2582" s="6" t="s">
        <v>383</v>
      </c>
      <c r="D2582" s="6" t="s">
        <v>251</v>
      </c>
      <c r="E2582" s="6" t="s">
        <v>37</v>
      </c>
      <c r="F2582" s="6" t="s">
        <v>384</v>
      </c>
      <c r="G2582" s="6" t="s">
        <v>385</v>
      </c>
      <c r="H2582" s="6" t="s">
        <v>386</v>
      </c>
      <c r="I2582" s="6" t="s">
        <v>213</v>
      </c>
      <c r="J2582" s="6">
        <v>16.388457515140999</v>
      </c>
      <c r="K2582" s="6">
        <v>-96.839011142963997</v>
      </c>
      <c r="L2582" s="6" t="str">
        <f>HYPERLINK("https://maps.google.com/?q=16.388457515140978,-96.839011142964338", "🔗 Ver Mapa")</f>
        <v>🔗 Ver Mapa</v>
      </c>
    </row>
    <row r="2583" spans="1:12" ht="43.5" x14ac:dyDescent="0.35">
      <c r="A2583" s="5" t="s">
        <v>206</v>
      </c>
      <c r="B2583" s="5" t="s">
        <v>207</v>
      </c>
      <c r="C2583" s="5" t="s">
        <v>383</v>
      </c>
      <c r="D2583" s="5" t="s">
        <v>251</v>
      </c>
      <c r="E2583" s="5" t="s">
        <v>37</v>
      </c>
      <c r="F2583" s="5" t="s">
        <v>384</v>
      </c>
      <c r="G2583" s="5" t="s">
        <v>385</v>
      </c>
      <c r="H2583" s="5" t="s">
        <v>386</v>
      </c>
      <c r="I2583" s="5" t="s">
        <v>213</v>
      </c>
      <c r="J2583" s="5">
        <v>16.388508731607999</v>
      </c>
      <c r="K2583" s="5">
        <v>-96.838696370942998</v>
      </c>
      <c r="L2583" s="5" t="str">
        <f>HYPERLINK("https://maps.google.com/?q=16.388508731608166,-96.838696370943438", "🔗 Ver Mapa")</f>
        <v>🔗 Ver Mapa</v>
      </c>
    </row>
    <row r="2584" spans="1:12" ht="43.5" x14ac:dyDescent="0.35">
      <c r="A2584" s="6" t="s">
        <v>206</v>
      </c>
      <c r="B2584" s="6" t="s">
        <v>207</v>
      </c>
      <c r="C2584" s="6" t="s">
        <v>383</v>
      </c>
      <c r="D2584" s="6" t="s">
        <v>251</v>
      </c>
      <c r="E2584" s="6" t="s">
        <v>37</v>
      </c>
      <c r="F2584" s="6" t="s">
        <v>384</v>
      </c>
      <c r="G2584" s="6" t="s">
        <v>385</v>
      </c>
      <c r="H2584" s="6" t="s">
        <v>386</v>
      </c>
      <c r="I2584" s="6" t="s">
        <v>213</v>
      </c>
      <c r="J2584" s="6">
        <v>16.391897306663001</v>
      </c>
      <c r="K2584" s="6">
        <v>-96.843440711594994</v>
      </c>
      <c r="L2584" s="6" t="str">
        <f>HYPERLINK("https://maps.google.com/?q=16.391897306662578,-96.843440711595107", "🔗 Ver Mapa")</f>
        <v>🔗 Ver Mapa</v>
      </c>
    </row>
    <row r="2585" spans="1:12" ht="43.5" x14ac:dyDescent="0.35">
      <c r="A2585" s="5" t="s">
        <v>206</v>
      </c>
      <c r="B2585" s="5" t="s">
        <v>207</v>
      </c>
      <c r="C2585" s="5" t="s">
        <v>383</v>
      </c>
      <c r="D2585" s="5" t="s">
        <v>251</v>
      </c>
      <c r="E2585" s="5" t="s">
        <v>37</v>
      </c>
      <c r="F2585" s="5" t="s">
        <v>384</v>
      </c>
      <c r="G2585" s="5" t="s">
        <v>385</v>
      </c>
      <c r="H2585" s="5" t="s">
        <v>386</v>
      </c>
      <c r="I2585" s="5" t="s">
        <v>213</v>
      </c>
      <c r="J2585" s="5">
        <v>16.392163029603999</v>
      </c>
      <c r="K2585" s="5">
        <v>-96.843235080316006</v>
      </c>
      <c r="L2585" s="5" t="str">
        <f>HYPERLINK("https://maps.google.com/?q=16.39216302960382,-96.843235080316319", "🔗 Ver Mapa")</f>
        <v>🔗 Ver Mapa</v>
      </c>
    </row>
    <row r="2586" spans="1:12" ht="43.5" x14ac:dyDescent="0.35">
      <c r="A2586" s="6" t="s">
        <v>206</v>
      </c>
      <c r="B2586" s="6" t="s">
        <v>207</v>
      </c>
      <c r="C2586" s="6" t="s">
        <v>383</v>
      </c>
      <c r="D2586" s="6" t="s">
        <v>251</v>
      </c>
      <c r="E2586" s="6" t="s">
        <v>37</v>
      </c>
      <c r="F2586" s="6" t="s">
        <v>384</v>
      </c>
      <c r="G2586" s="6" t="s">
        <v>385</v>
      </c>
      <c r="H2586" s="6" t="s">
        <v>386</v>
      </c>
      <c r="I2586" s="6" t="s">
        <v>213</v>
      </c>
      <c r="J2586" s="6">
        <v>16.392506444058998</v>
      </c>
      <c r="K2586" s="6">
        <v>-96.842946950772998</v>
      </c>
      <c r="L2586" s="6" t="str">
        <f>HYPERLINK("https://maps.google.com/?q=16.392506444058807,-96.842946950772841", "🔗 Ver Mapa")</f>
        <v>🔗 Ver Mapa</v>
      </c>
    </row>
    <row r="2587" spans="1:12" ht="43.5" x14ac:dyDescent="0.35">
      <c r="A2587" s="5" t="s">
        <v>206</v>
      </c>
      <c r="B2587" s="5" t="s">
        <v>207</v>
      </c>
      <c r="C2587" s="5" t="s">
        <v>383</v>
      </c>
      <c r="D2587" s="5" t="s">
        <v>251</v>
      </c>
      <c r="E2587" s="5" t="s">
        <v>37</v>
      </c>
      <c r="F2587" s="5" t="s">
        <v>384</v>
      </c>
      <c r="G2587" s="5" t="s">
        <v>385</v>
      </c>
      <c r="H2587" s="5" t="s">
        <v>386</v>
      </c>
      <c r="I2587" s="5" t="s">
        <v>213</v>
      </c>
      <c r="J2587" s="5">
        <v>16.392840992305999</v>
      </c>
      <c r="K2587" s="5">
        <v>-96.842762442489999</v>
      </c>
      <c r="L2587" s="5" t="str">
        <f>HYPERLINK("https://maps.google.com/?q=16.392840992305615,-96.842762442489914", "🔗 Ver Mapa")</f>
        <v>🔗 Ver Mapa</v>
      </c>
    </row>
    <row r="2588" spans="1:12" ht="43.5" x14ac:dyDescent="0.35">
      <c r="A2588" s="6" t="s">
        <v>206</v>
      </c>
      <c r="B2588" s="6" t="s">
        <v>207</v>
      </c>
      <c r="C2588" s="6" t="s">
        <v>383</v>
      </c>
      <c r="D2588" s="6" t="s">
        <v>251</v>
      </c>
      <c r="E2588" s="6" t="s">
        <v>37</v>
      </c>
      <c r="F2588" s="6" t="s">
        <v>384</v>
      </c>
      <c r="G2588" s="6" t="s">
        <v>385</v>
      </c>
      <c r="H2588" s="6" t="s">
        <v>386</v>
      </c>
      <c r="I2588" s="6" t="s">
        <v>213</v>
      </c>
      <c r="J2588" s="6">
        <v>16.393380169739</v>
      </c>
      <c r="K2588" s="6">
        <v>-96.842551869195006</v>
      </c>
      <c r="L2588" s="6" t="str">
        <f>HYPERLINK("https://maps.google.com/?q=16.3933801697393,-96.842551869195148", "🔗 Ver Mapa")</f>
        <v>🔗 Ver Mapa</v>
      </c>
    </row>
    <row r="2589" spans="1:12" ht="43.5" x14ac:dyDescent="0.35">
      <c r="A2589" s="5" t="s">
        <v>206</v>
      </c>
      <c r="B2589" s="5" t="s">
        <v>207</v>
      </c>
      <c r="C2589" s="5" t="s">
        <v>383</v>
      </c>
      <c r="D2589" s="5" t="s">
        <v>251</v>
      </c>
      <c r="E2589" s="5" t="s">
        <v>37</v>
      </c>
      <c r="F2589" s="5" t="s">
        <v>384</v>
      </c>
      <c r="G2589" s="5" t="s">
        <v>385</v>
      </c>
      <c r="H2589" s="5" t="s">
        <v>386</v>
      </c>
      <c r="I2589" s="5" t="s">
        <v>213</v>
      </c>
      <c r="J2589" s="5">
        <v>16.394026204322</v>
      </c>
      <c r="K2589" s="5">
        <v>-96.844495711003006</v>
      </c>
      <c r="L2589" s="5" t="str">
        <f>HYPERLINK("https://maps.google.com/?q=16.394026204321612,-96.84449571100329", "🔗 Ver Mapa")</f>
        <v>🔗 Ver Mapa</v>
      </c>
    </row>
    <row r="2590" spans="1:12" ht="43.5" x14ac:dyDescent="0.35">
      <c r="A2590" s="6" t="s">
        <v>206</v>
      </c>
      <c r="B2590" s="6" t="s">
        <v>207</v>
      </c>
      <c r="C2590" s="6" t="s">
        <v>383</v>
      </c>
      <c r="D2590" s="6" t="s">
        <v>251</v>
      </c>
      <c r="E2590" s="6" t="s">
        <v>37</v>
      </c>
      <c r="F2590" s="6" t="s">
        <v>384</v>
      </c>
      <c r="G2590" s="6" t="s">
        <v>385</v>
      </c>
      <c r="H2590" s="6" t="s">
        <v>386</v>
      </c>
      <c r="I2590" s="6" t="s">
        <v>213</v>
      </c>
      <c r="J2590" s="6">
        <v>16.394036653977999</v>
      </c>
      <c r="K2590" s="6">
        <v>-96.842341415589004</v>
      </c>
      <c r="L2590" s="6" t="str">
        <f>HYPERLINK("https://maps.google.com/?q=16.394036653978237,-96.842341415588521", "🔗 Ver Mapa")</f>
        <v>🔗 Ver Mapa</v>
      </c>
    </row>
    <row r="2591" spans="1:12" ht="43.5" x14ac:dyDescent="0.35">
      <c r="A2591" s="5" t="s">
        <v>206</v>
      </c>
      <c r="B2591" s="5" t="s">
        <v>207</v>
      </c>
      <c r="C2591" s="5" t="s">
        <v>383</v>
      </c>
      <c r="D2591" s="5" t="s">
        <v>251</v>
      </c>
      <c r="E2591" s="5" t="s">
        <v>37</v>
      </c>
      <c r="F2591" s="5" t="s">
        <v>384</v>
      </c>
      <c r="G2591" s="5" t="s">
        <v>385</v>
      </c>
      <c r="H2591" s="5" t="s">
        <v>386</v>
      </c>
      <c r="I2591" s="5" t="s">
        <v>213</v>
      </c>
      <c r="J2591" s="5">
        <v>16.394086740237</v>
      </c>
      <c r="K2591" s="5">
        <v>-96.842312566973007</v>
      </c>
      <c r="L2591" s="5" t="str">
        <f>HYPERLINK("https://maps.google.com/?q=16.39408674023721,-96.84231256697268", "🔗 Ver Mapa")</f>
        <v>🔗 Ver Mapa</v>
      </c>
    </row>
    <row r="2592" spans="1:12" ht="43.5" x14ac:dyDescent="0.35">
      <c r="A2592" s="6" t="s">
        <v>206</v>
      </c>
      <c r="B2592" s="6" t="s">
        <v>207</v>
      </c>
      <c r="C2592" s="6" t="s">
        <v>383</v>
      </c>
      <c r="D2592" s="6" t="s">
        <v>251</v>
      </c>
      <c r="E2592" s="6" t="s">
        <v>37</v>
      </c>
      <c r="F2592" s="6" t="s">
        <v>384</v>
      </c>
      <c r="G2592" s="6" t="s">
        <v>385</v>
      </c>
      <c r="H2592" s="6" t="s">
        <v>386</v>
      </c>
      <c r="I2592" s="6" t="s">
        <v>213</v>
      </c>
      <c r="J2592" s="6">
        <v>16.394426612231999</v>
      </c>
      <c r="K2592" s="6">
        <v>-96.843111244420001</v>
      </c>
      <c r="L2592" s="6" t="str">
        <f>HYPERLINK("https://maps.google.com/?q=16.39442661223215,-96.843111244419617", "🔗 Ver Mapa")</f>
        <v>🔗 Ver Mapa</v>
      </c>
    </row>
    <row r="2593" spans="1:12" ht="43.5" x14ac:dyDescent="0.35">
      <c r="A2593" s="5" t="s">
        <v>206</v>
      </c>
      <c r="B2593" s="5" t="s">
        <v>207</v>
      </c>
      <c r="C2593" s="5" t="s">
        <v>383</v>
      </c>
      <c r="D2593" s="5" t="s">
        <v>251</v>
      </c>
      <c r="E2593" s="5" t="s">
        <v>37</v>
      </c>
      <c r="F2593" s="5" t="s">
        <v>384</v>
      </c>
      <c r="G2593" s="5" t="s">
        <v>385</v>
      </c>
      <c r="H2593" s="5" t="s">
        <v>386</v>
      </c>
      <c r="I2593" s="5" t="s">
        <v>213</v>
      </c>
      <c r="J2593" s="5">
        <v>16.394527675759999</v>
      </c>
      <c r="K2593" s="5">
        <v>-96.844809613864001</v>
      </c>
      <c r="L2593" s="5" t="str">
        <f>HYPERLINK("https://maps.google.com/?q=16.394527675760447,-96.844809613864271", "🔗 Ver Mapa")</f>
        <v>🔗 Ver Mapa</v>
      </c>
    </row>
    <row r="2594" spans="1:12" ht="43.5" x14ac:dyDescent="0.35">
      <c r="A2594" s="6" t="s">
        <v>206</v>
      </c>
      <c r="B2594" s="6" t="s">
        <v>207</v>
      </c>
      <c r="C2594" s="6" t="s">
        <v>383</v>
      </c>
      <c r="D2594" s="6" t="s">
        <v>251</v>
      </c>
      <c r="E2594" s="6" t="s">
        <v>37</v>
      </c>
      <c r="F2594" s="6" t="s">
        <v>384</v>
      </c>
      <c r="G2594" s="6" t="s">
        <v>385</v>
      </c>
      <c r="H2594" s="6" t="s">
        <v>386</v>
      </c>
      <c r="I2594" s="6" t="s">
        <v>213</v>
      </c>
      <c r="J2594" s="6">
        <v>16.394586335465</v>
      </c>
      <c r="K2594" s="6">
        <v>-96.844204118573003</v>
      </c>
      <c r="L2594" s="6" t="str">
        <f>HYPERLINK("https://maps.google.com/?q=16.394586335465192,-96.844204118573415", "🔗 Ver Mapa")</f>
        <v>🔗 Ver Mapa</v>
      </c>
    </row>
    <row r="2595" spans="1:12" ht="43.5" x14ac:dyDescent="0.35">
      <c r="A2595" s="5" t="s">
        <v>206</v>
      </c>
      <c r="B2595" s="5" t="s">
        <v>207</v>
      </c>
      <c r="C2595" s="5" t="s">
        <v>383</v>
      </c>
      <c r="D2595" s="5" t="s">
        <v>251</v>
      </c>
      <c r="E2595" s="5" t="s">
        <v>37</v>
      </c>
      <c r="F2595" s="5" t="s">
        <v>384</v>
      </c>
      <c r="G2595" s="5" t="s">
        <v>385</v>
      </c>
      <c r="H2595" s="5" t="s">
        <v>386</v>
      </c>
      <c r="I2595" s="5" t="s">
        <v>213</v>
      </c>
      <c r="J2595" s="5">
        <v>16.394702748731</v>
      </c>
      <c r="K2595" s="5">
        <v>-96.843661716241002</v>
      </c>
      <c r="L2595" s="5" t="str">
        <f>HYPERLINK("https://maps.google.com/?q=16.394702748730953,-96.843661716240604", "🔗 Ver Mapa")</f>
        <v>🔗 Ver Mapa</v>
      </c>
    </row>
    <row r="2596" spans="1:12" ht="43.5" x14ac:dyDescent="0.35">
      <c r="A2596" s="6" t="s">
        <v>206</v>
      </c>
      <c r="B2596" s="6" t="s">
        <v>207</v>
      </c>
      <c r="C2596" s="6" t="s">
        <v>383</v>
      </c>
      <c r="D2596" s="6" t="s">
        <v>251</v>
      </c>
      <c r="E2596" s="6" t="s">
        <v>37</v>
      </c>
      <c r="F2596" s="6" t="s">
        <v>384</v>
      </c>
      <c r="G2596" s="6" t="s">
        <v>385</v>
      </c>
      <c r="H2596" s="6" t="s">
        <v>386</v>
      </c>
      <c r="I2596" s="6" t="s">
        <v>213</v>
      </c>
      <c r="J2596" s="6">
        <v>16.394823706697998</v>
      </c>
      <c r="K2596" s="6">
        <v>-96.842101050074007</v>
      </c>
      <c r="L2596" s="6" t="str">
        <f>HYPERLINK("https://maps.google.com/?q=16.394823706697764,-96.84210105007358", "🔗 Ver Mapa")</f>
        <v>🔗 Ver Mapa</v>
      </c>
    </row>
    <row r="2597" spans="1:12" ht="43.5" x14ac:dyDescent="0.35">
      <c r="A2597" s="5" t="s">
        <v>206</v>
      </c>
      <c r="B2597" s="5" t="s">
        <v>207</v>
      </c>
      <c r="C2597" s="5" t="s">
        <v>383</v>
      </c>
      <c r="D2597" s="5" t="s">
        <v>251</v>
      </c>
      <c r="E2597" s="5" t="s">
        <v>37</v>
      </c>
      <c r="F2597" s="5" t="s">
        <v>384</v>
      </c>
      <c r="G2597" s="5" t="s">
        <v>385</v>
      </c>
      <c r="H2597" s="5" t="s">
        <v>386</v>
      </c>
      <c r="I2597" s="5" t="s">
        <v>213</v>
      </c>
      <c r="J2597" s="5">
        <v>16.394886329593</v>
      </c>
      <c r="K2597" s="5">
        <v>-96.844009273606005</v>
      </c>
      <c r="L2597" s="5" t="str">
        <f>HYPERLINK("https://maps.google.com/?q=16.394886329593295,-96.844009273606403", "🔗 Ver Mapa")</f>
        <v>🔗 Ver Mapa</v>
      </c>
    </row>
    <row r="2598" spans="1:12" ht="43.5" x14ac:dyDescent="0.35">
      <c r="A2598" s="6" t="s">
        <v>206</v>
      </c>
      <c r="B2598" s="6" t="s">
        <v>207</v>
      </c>
      <c r="C2598" s="6" t="s">
        <v>383</v>
      </c>
      <c r="D2598" s="6" t="s">
        <v>251</v>
      </c>
      <c r="E2598" s="6" t="s">
        <v>37</v>
      </c>
      <c r="F2598" s="6" t="s">
        <v>384</v>
      </c>
      <c r="G2598" s="6" t="s">
        <v>385</v>
      </c>
      <c r="H2598" s="6" t="s">
        <v>386</v>
      </c>
      <c r="I2598" s="6" t="s">
        <v>213</v>
      </c>
      <c r="J2598" s="6">
        <v>16.394959380353999</v>
      </c>
      <c r="K2598" s="6">
        <v>-96.844118153874007</v>
      </c>
      <c r="L2598" s="6" t="str">
        <f>HYPERLINK("https://maps.google.com/?q=16.394959380353868,-96.844118153874163", "🔗 Ver Mapa")</f>
        <v>🔗 Ver Mapa</v>
      </c>
    </row>
    <row r="2599" spans="1:12" ht="43.5" x14ac:dyDescent="0.35">
      <c r="A2599" s="5" t="s">
        <v>206</v>
      </c>
      <c r="B2599" s="5" t="s">
        <v>207</v>
      </c>
      <c r="C2599" s="5" t="s">
        <v>383</v>
      </c>
      <c r="D2599" s="5" t="s">
        <v>251</v>
      </c>
      <c r="E2599" s="5" t="s">
        <v>37</v>
      </c>
      <c r="F2599" s="5" t="s">
        <v>384</v>
      </c>
      <c r="G2599" s="5" t="s">
        <v>385</v>
      </c>
      <c r="H2599" s="5" t="s">
        <v>386</v>
      </c>
      <c r="I2599" s="5" t="s">
        <v>213</v>
      </c>
      <c r="J2599" s="5">
        <v>16.395144458461999</v>
      </c>
      <c r="K2599" s="5">
        <v>-96.844490199003999</v>
      </c>
      <c r="L2599" s="5" t="str">
        <f>HYPERLINK("https://maps.google.com/?q=16.39514445846206,-96.844490199004071", "🔗 Ver Mapa")</f>
        <v>🔗 Ver Mapa</v>
      </c>
    </row>
    <row r="2600" spans="1:12" ht="43.5" x14ac:dyDescent="0.35">
      <c r="A2600" s="6" t="s">
        <v>206</v>
      </c>
      <c r="B2600" s="6" t="s">
        <v>207</v>
      </c>
      <c r="C2600" s="6" t="s">
        <v>383</v>
      </c>
      <c r="D2600" s="6" t="s">
        <v>251</v>
      </c>
      <c r="E2600" s="6" t="s">
        <v>37</v>
      </c>
      <c r="F2600" s="6" t="s">
        <v>384</v>
      </c>
      <c r="G2600" s="6" t="s">
        <v>385</v>
      </c>
      <c r="H2600" s="6" t="s">
        <v>386</v>
      </c>
      <c r="I2600" s="6" t="s">
        <v>213</v>
      </c>
      <c r="J2600" s="6">
        <v>16.395346930801001</v>
      </c>
      <c r="K2600" s="6">
        <v>-96.844828181232003</v>
      </c>
      <c r="L2600" s="6" t="str">
        <f>HYPERLINK("https://maps.google.com/?q=16.395346930800624,-96.844828181232131", "🔗 Ver Mapa")</f>
        <v>🔗 Ver Mapa</v>
      </c>
    </row>
    <row r="2601" spans="1:12" ht="43.5" x14ac:dyDescent="0.35">
      <c r="A2601" s="5" t="s">
        <v>206</v>
      </c>
      <c r="B2601" s="5" t="s">
        <v>207</v>
      </c>
      <c r="C2601" s="5" t="s">
        <v>383</v>
      </c>
      <c r="D2601" s="5" t="s">
        <v>251</v>
      </c>
      <c r="E2601" s="5" t="s">
        <v>37</v>
      </c>
      <c r="F2601" s="5" t="s">
        <v>384</v>
      </c>
      <c r="G2601" s="5" t="s">
        <v>385</v>
      </c>
      <c r="H2601" s="5" t="s">
        <v>386</v>
      </c>
      <c r="I2601" s="5" t="s">
        <v>213</v>
      </c>
      <c r="J2601" s="5">
        <v>16.395347006895001</v>
      </c>
      <c r="K2601" s="5">
        <v>-96.844981873752005</v>
      </c>
      <c r="L2601" s="5" t="str">
        <f>HYPERLINK("https://maps.google.com/?q=16.39534700689495,-96.844981873751564", "🔗 Ver Mapa")</f>
        <v>🔗 Ver Mapa</v>
      </c>
    </row>
    <row r="2602" spans="1:12" ht="43.5" x14ac:dyDescent="0.35">
      <c r="A2602" s="6" t="s">
        <v>206</v>
      </c>
      <c r="B2602" s="6" t="s">
        <v>207</v>
      </c>
      <c r="C2602" s="6" t="s">
        <v>383</v>
      </c>
      <c r="D2602" s="6" t="s">
        <v>251</v>
      </c>
      <c r="E2602" s="6" t="s">
        <v>37</v>
      </c>
      <c r="F2602" s="6" t="s">
        <v>384</v>
      </c>
      <c r="G2602" s="6" t="s">
        <v>385</v>
      </c>
      <c r="H2602" s="6" t="s">
        <v>386</v>
      </c>
      <c r="I2602" s="6" t="s">
        <v>213</v>
      </c>
      <c r="J2602" s="6">
        <v>16.395415661055999</v>
      </c>
      <c r="K2602" s="6">
        <v>-96.841981763958998</v>
      </c>
      <c r="L2602" s="6" t="str">
        <f>HYPERLINK("https://maps.google.com/?q=16.395415661056106,-96.8419817639587", "🔗 Ver Mapa")</f>
        <v>🔗 Ver Mapa</v>
      </c>
    </row>
    <row r="2603" spans="1:12" ht="43.5" x14ac:dyDescent="0.35">
      <c r="A2603" s="5" t="s">
        <v>206</v>
      </c>
      <c r="B2603" s="5" t="s">
        <v>207</v>
      </c>
      <c r="C2603" s="5" t="s">
        <v>383</v>
      </c>
      <c r="D2603" s="5" t="s">
        <v>251</v>
      </c>
      <c r="E2603" s="5" t="s">
        <v>37</v>
      </c>
      <c r="F2603" s="5" t="s">
        <v>384</v>
      </c>
      <c r="G2603" s="5" t="s">
        <v>385</v>
      </c>
      <c r="H2603" s="5" t="s">
        <v>386</v>
      </c>
      <c r="I2603" s="5" t="s">
        <v>213</v>
      </c>
      <c r="J2603" s="5">
        <v>16.395876154402</v>
      </c>
      <c r="K2603" s="5">
        <v>-96.841763282133002</v>
      </c>
      <c r="L2603" s="5" t="str">
        <f>HYPERLINK("https://maps.google.com/?q=16.39587615440224,-96.841763282132746", "🔗 Ver Mapa")</f>
        <v>🔗 Ver Mapa</v>
      </c>
    </row>
    <row r="2604" spans="1:12" ht="43.5" x14ac:dyDescent="0.35">
      <c r="A2604" s="6" t="s">
        <v>206</v>
      </c>
      <c r="B2604" s="6" t="s">
        <v>207</v>
      </c>
      <c r="C2604" s="6" t="s">
        <v>383</v>
      </c>
      <c r="D2604" s="6" t="s">
        <v>251</v>
      </c>
      <c r="E2604" s="6" t="s">
        <v>37</v>
      </c>
      <c r="F2604" s="6" t="s">
        <v>384</v>
      </c>
      <c r="G2604" s="6" t="s">
        <v>385</v>
      </c>
      <c r="H2604" s="6" t="s">
        <v>386</v>
      </c>
      <c r="I2604" s="6" t="s">
        <v>213</v>
      </c>
      <c r="J2604" s="6">
        <v>16.396571003681</v>
      </c>
      <c r="K2604" s="6">
        <v>-96.841370383168993</v>
      </c>
      <c r="L2604" s="6" t="str">
        <f>HYPERLINK("https://maps.google.com/?q=16.396571003680634,-96.841370383169291", "🔗 Ver Mapa")</f>
        <v>🔗 Ver Mapa</v>
      </c>
    </row>
    <row r="2605" spans="1:12" ht="43.5" x14ac:dyDescent="0.35">
      <c r="A2605" s="5" t="s">
        <v>206</v>
      </c>
      <c r="B2605" s="5" t="s">
        <v>207</v>
      </c>
      <c r="C2605" s="5" t="s">
        <v>383</v>
      </c>
      <c r="D2605" s="5" t="s">
        <v>251</v>
      </c>
      <c r="E2605" s="5" t="s">
        <v>37</v>
      </c>
      <c r="F2605" s="5" t="s">
        <v>384</v>
      </c>
      <c r="G2605" s="5" t="s">
        <v>385</v>
      </c>
      <c r="H2605" s="5" t="s">
        <v>386</v>
      </c>
      <c r="I2605" s="5" t="s">
        <v>213</v>
      </c>
      <c r="J2605" s="5">
        <v>16.397042720037</v>
      </c>
      <c r="K2605" s="5">
        <v>-96.841193527889004</v>
      </c>
      <c r="L2605" s="5" t="str">
        <f>HYPERLINK("https://maps.google.com/?q=16.397042720036875,-96.841193527888976", "🔗 Ver Mapa")</f>
        <v>🔗 Ver Mapa</v>
      </c>
    </row>
    <row r="2606" spans="1:12" ht="43.5" x14ac:dyDescent="0.35">
      <c r="A2606" s="6" t="s">
        <v>206</v>
      </c>
      <c r="B2606" s="6" t="s">
        <v>207</v>
      </c>
      <c r="C2606" s="6" t="s">
        <v>383</v>
      </c>
      <c r="D2606" s="6" t="s">
        <v>251</v>
      </c>
      <c r="E2606" s="6" t="s">
        <v>37</v>
      </c>
      <c r="F2606" s="6" t="s">
        <v>384</v>
      </c>
      <c r="G2606" s="6" t="s">
        <v>385</v>
      </c>
      <c r="H2606" s="6" t="s">
        <v>386</v>
      </c>
      <c r="I2606" s="6" t="s">
        <v>213</v>
      </c>
      <c r="J2606" s="6">
        <v>16.397422637609999</v>
      </c>
      <c r="K2606" s="6">
        <v>-96.841089912089998</v>
      </c>
      <c r="L2606" s="6" t="str">
        <f>HYPERLINK("https://maps.google.com/?q=16.39742263761044,-96.841089912089771", "🔗 Ver Mapa")</f>
        <v>🔗 Ver Mapa</v>
      </c>
    </row>
    <row r="2607" spans="1:12" ht="43.5" x14ac:dyDescent="0.35">
      <c r="A2607" s="5" t="s">
        <v>206</v>
      </c>
      <c r="B2607" s="5" t="s">
        <v>207</v>
      </c>
      <c r="C2607" s="5" t="s">
        <v>383</v>
      </c>
      <c r="D2607" s="5" t="s">
        <v>251</v>
      </c>
      <c r="E2607" s="5" t="s">
        <v>37</v>
      </c>
      <c r="F2607" s="5" t="s">
        <v>384</v>
      </c>
      <c r="G2607" s="5" t="s">
        <v>385</v>
      </c>
      <c r="H2607" s="5" t="s">
        <v>386</v>
      </c>
      <c r="I2607" s="5" t="s">
        <v>213</v>
      </c>
      <c r="J2607" s="5">
        <v>16.397845263028</v>
      </c>
      <c r="K2607" s="5">
        <v>-96.841025107408001</v>
      </c>
      <c r="L2607" s="5" t="str">
        <f>HYPERLINK("https://maps.google.com/?q=16.39784526302825,-96.841025107407503", "🔗 Ver Mapa")</f>
        <v>🔗 Ver Mapa</v>
      </c>
    </row>
    <row r="2608" spans="1:12" ht="43.5" x14ac:dyDescent="0.35">
      <c r="A2608" s="6" t="s">
        <v>206</v>
      </c>
      <c r="B2608" s="6" t="s">
        <v>207</v>
      </c>
      <c r="C2608" s="6" t="s">
        <v>383</v>
      </c>
      <c r="D2608" s="6" t="s">
        <v>251</v>
      </c>
      <c r="E2608" s="6" t="s">
        <v>37</v>
      </c>
      <c r="F2608" s="6" t="s">
        <v>384</v>
      </c>
      <c r="G2608" s="6" t="s">
        <v>385</v>
      </c>
      <c r="H2608" s="6" t="s">
        <v>386</v>
      </c>
      <c r="I2608" s="6" t="s">
        <v>213</v>
      </c>
      <c r="J2608" s="6">
        <v>16.398434225966</v>
      </c>
      <c r="K2608" s="6">
        <v>-96.841042162581005</v>
      </c>
      <c r="L2608" s="6" t="str">
        <f>HYPERLINK("https://maps.google.com/?q=16.398434225965833,-96.841042162581402", "🔗 Ver Mapa")</f>
        <v>🔗 Ver Mapa</v>
      </c>
    </row>
    <row r="2609" spans="1:12" ht="43.5" x14ac:dyDescent="0.35">
      <c r="A2609" s="5" t="s">
        <v>206</v>
      </c>
      <c r="B2609" s="5" t="s">
        <v>207</v>
      </c>
      <c r="C2609" s="5" t="s">
        <v>383</v>
      </c>
      <c r="D2609" s="5" t="s">
        <v>251</v>
      </c>
      <c r="E2609" s="5" t="s">
        <v>37</v>
      </c>
      <c r="F2609" s="5" t="s">
        <v>384</v>
      </c>
      <c r="G2609" s="5" t="s">
        <v>385</v>
      </c>
      <c r="H2609" s="5" t="s">
        <v>386</v>
      </c>
      <c r="I2609" s="5" t="s">
        <v>213</v>
      </c>
      <c r="J2609" s="5">
        <v>16.398524010965001</v>
      </c>
      <c r="K2609" s="5">
        <v>-96.841238156732999</v>
      </c>
      <c r="L2609" s="5" t="str">
        <f>HYPERLINK("https://maps.google.com/?q=16.398524010964955,-96.841238156733056", "🔗 Ver Mapa")</f>
        <v>🔗 Ver Mapa</v>
      </c>
    </row>
    <row r="2610" spans="1:12" ht="43.5" x14ac:dyDescent="0.35">
      <c r="A2610" s="6" t="s">
        <v>206</v>
      </c>
      <c r="B2610" s="6" t="s">
        <v>207</v>
      </c>
      <c r="C2610" s="6" t="s">
        <v>383</v>
      </c>
      <c r="D2610" s="6" t="s">
        <v>251</v>
      </c>
      <c r="E2610" s="6" t="s">
        <v>37</v>
      </c>
      <c r="F2610" s="6" t="s">
        <v>384</v>
      </c>
      <c r="G2610" s="6" t="s">
        <v>385</v>
      </c>
      <c r="H2610" s="6" t="s">
        <v>386</v>
      </c>
      <c r="I2610" s="6" t="s">
        <v>213</v>
      </c>
      <c r="J2610" s="6">
        <v>16.398577692577</v>
      </c>
      <c r="K2610" s="6">
        <v>-96.841048854692005</v>
      </c>
      <c r="L2610" s="6" t="str">
        <f>HYPERLINK("https://maps.google.com/?q=16.398577692576925,-96.841048854691508", "🔗 Ver Mapa")</f>
        <v>🔗 Ver Mapa</v>
      </c>
    </row>
    <row r="2611" spans="1:12" ht="72.5" x14ac:dyDescent="0.35">
      <c r="A2611" s="5" t="s">
        <v>199</v>
      </c>
      <c r="B2611" s="5" t="s">
        <v>200</v>
      </c>
      <c r="C2611" s="5" t="s">
        <v>387</v>
      </c>
      <c r="D2611" s="5" t="s">
        <v>202</v>
      </c>
      <c r="E2611" s="5" t="s">
        <v>38</v>
      </c>
      <c r="F2611" s="5" t="s">
        <v>97</v>
      </c>
      <c r="G2611" s="5" t="s">
        <v>388</v>
      </c>
      <c r="H2611" s="5" t="s">
        <v>389</v>
      </c>
      <c r="I2611" s="5" t="s">
        <v>63</v>
      </c>
      <c r="J2611" s="5">
        <v>16.615929999999999</v>
      </c>
      <c r="K2611" s="5">
        <v>-98.149376000000004</v>
      </c>
      <c r="L2611" s="5" t="str">
        <f>HYPERLINK("https://maps.google.com/?q=16.61593,-98.149376", "🔗 Ver Mapa")</f>
        <v>🔗 Ver Mapa</v>
      </c>
    </row>
    <row r="2612" spans="1:12" ht="72.5" x14ac:dyDescent="0.35">
      <c r="A2612" s="6" t="s">
        <v>154</v>
      </c>
      <c r="B2612" s="6" t="s">
        <v>155</v>
      </c>
      <c r="C2612" s="6" t="s">
        <v>390</v>
      </c>
      <c r="D2612" s="6" t="s">
        <v>157</v>
      </c>
      <c r="E2612" s="6" t="s">
        <v>128</v>
      </c>
      <c r="F2612" s="6" t="s">
        <v>129</v>
      </c>
      <c r="G2612" s="6" t="s">
        <v>130</v>
      </c>
      <c r="H2612" s="6" t="s">
        <v>149</v>
      </c>
      <c r="I2612" s="6" t="s">
        <v>63</v>
      </c>
      <c r="J2612" s="6">
        <v>17.176396</v>
      </c>
      <c r="K2612" s="6">
        <v>-97.726623000000004</v>
      </c>
      <c r="L2612" s="6" t="str">
        <f>HYPERLINK("https://maps.google.com/?q=17.176396,-97.726623", "🔗 Ver Mapa")</f>
        <v>🔗 Ver Mapa</v>
      </c>
    </row>
    <row r="2613" spans="1:12" ht="72.5" x14ac:dyDescent="0.35">
      <c r="A2613" s="5" t="s">
        <v>154</v>
      </c>
      <c r="B2613" s="5" t="s">
        <v>155</v>
      </c>
      <c r="C2613" s="5" t="s">
        <v>390</v>
      </c>
      <c r="D2613" s="5" t="s">
        <v>157</v>
      </c>
      <c r="E2613" s="5" t="s">
        <v>128</v>
      </c>
      <c r="F2613" s="5" t="s">
        <v>129</v>
      </c>
      <c r="G2613" s="5" t="s">
        <v>130</v>
      </c>
      <c r="H2613" s="5" t="s">
        <v>149</v>
      </c>
      <c r="I2613" s="5" t="s">
        <v>63</v>
      </c>
      <c r="J2613" s="5">
        <v>17.196104999999999</v>
      </c>
      <c r="K2613" s="5">
        <v>-97.725819000000001</v>
      </c>
      <c r="L2613" s="5" t="str">
        <f>HYPERLINK("https://maps.google.com/?q=17.196105,-97.725819", "🔗 Ver Mapa")</f>
        <v>🔗 Ver Mapa</v>
      </c>
    </row>
    <row r="2614" spans="1:12" ht="72.5" x14ac:dyDescent="0.35">
      <c r="A2614" s="6" t="s">
        <v>154</v>
      </c>
      <c r="B2614" s="6" t="s">
        <v>155</v>
      </c>
      <c r="C2614" s="6" t="s">
        <v>390</v>
      </c>
      <c r="D2614" s="6" t="s">
        <v>157</v>
      </c>
      <c r="E2614" s="6" t="s">
        <v>128</v>
      </c>
      <c r="F2614" s="6" t="s">
        <v>129</v>
      </c>
      <c r="G2614" s="6" t="s">
        <v>130</v>
      </c>
      <c r="H2614" s="6" t="s">
        <v>149</v>
      </c>
      <c r="I2614" s="6" t="s">
        <v>63</v>
      </c>
      <c r="J2614" s="6">
        <v>17.215909</v>
      </c>
      <c r="K2614" s="6">
        <v>-97.729555000000005</v>
      </c>
      <c r="L2614" s="6" t="str">
        <f>HYPERLINK("https://maps.google.com/?q=17.215909,-97.729555", "🔗 Ver Mapa")</f>
        <v>🔗 Ver Mapa</v>
      </c>
    </row>
    <row r="2615" spans="1:12" ht="43.5" x14ac:dyDescent="0.35">
      <c r="A2615" s="5" t="s">
        <v>8</v>
      </c>
      <c r="B2615" s="5" t="s">
        <v>16</v>
      </c>
      <c r="C2615" s="5" t="s">
        <v>391</v>
      </c>
      <c r="D2615" s="5" t="s">
        <v>35</v>
      </c>
      <c r="E2615" s="5" t="s">
        <v>312</v>
      </c>
      <c r="F2615" s="5" t="s">
        <v>313</v>
      </c>
      <c r="G2615" s="5" t="s">
        <v>392</v>
      </c>
      <c r="H2615" s="5" t="s">
        <v>393</v>
      </c>
      <c r="I2615" s="5" t="s">
        <v>63</v>
      </c>
      <c r="J2615" s="5">
        <v>18.089725827509</v>
      </c>
      <c r="K2615" s="5">
        <v>-96.104836793280995</v>
      </c>
      <c r="L2615" s="5" t="str">
        <f>HYPERLINK("https://maps.google.com/?q=18.0897258275091,-96.104836793281393", "🔗 Ver Mapa")</f>
        <v>🔗 Ver Mapa</v>
      </c>
    </row>
    <row r="2616" spans="1:12" ht="43.5" x14ac:dyDescent="0.35">
      <c r="A2616" s="6" t="s">
        <v>8</v>
      </c>
      <c r="B2616" s="6" t="s">
        <v>16</v>
      </c>
      <c r="C2616" s="6" t="s">
        <v>391</v>
      </c>
      <c r="D2616" s="6" t="s">
        <v>35</v>
      </c>
      <c r="E2616" s="6" t="s">
        <v>312</v>
      </c>
      <c r="F2616" s="6" t="s">
        <v>313</v>
      </c>
      <c r="G2616" s="6" t="s">
        <v>392</v>
      </c>
      <c r="H2616" s="6" t="s">
        <v>393</v>
      </c>
      <c r="I2616" s="6" t="s">
        <v>63</v>
      </c>
      <c r="J2616" s="6">
        <v>18.090027747897999</v>
      </c>
      <c r="K2616" s="6">
        <v>-96.100489345118007</v>
      </c>
      <c r="L2616" s="6" t="str">
        <f>HYPERLINK("https://maps.google.com/?q=18.0900277478977,-96.100489345117893", "🔗 Ver Mapa")</f>
        <v>🔗 Ver Mapa</v>
      </c>
    </row>
    <row r="2617" spans="1:12" ht="43.5" x14ac:dyDescent="0.35">
      <c r="A2617" s="5" t="s">
        <v>8</v>
      </c>
      <c r="B2617" s="5" t="s">
        <v>16</v>
      </c>
      <c r="C2617" s="5" t="s">
        <v>391</v>
      </c>
      <c r="D2617" s="5" t="s">
        <v>35</v>
      </c>
      <c r="E2617" s="5" t="s">
        <v>312</v>
      </c>
      <c r="F2617" s="5" t="s">
        <v>313</v>
      </c>
      <c r="G2617" s="5" t="s">
        <v>392</v>
      </c>
      <c r="H2617" s="5" t="s">
        <v>393</v>
      </c>
      <c r="I2617" s="5" t="s">
        <v>63</v>
      </c>
      <c r="J2617" s="5">
        <v>18.095682935999001</v>
      </c>
      <c r="K2617" s="5">
        <v>-96.103674194918995</v>
      </c>
      <c r="L2617" s="5" t="str">
        <f>HYPERLINK("https://maps.google.com/?q=18.0956829359989,-96.103674194919407", "🔗 Ver Mapa")</f>
        <v>🔗 Ver Mapa</v>
      </c>
    </row>
    <row r="2618" spans="1:12" ht="43.5" x14ac:dyDescent="0.35">
      <c r="A2618" s="6" t="s">
        <v>8</v>
      </c>
      <c r="B2618" s="6" t="s">
        <v>16</v>
      </c>
      <c r="C2618" s="6" t="s">
        <v>391</v>
      </c>
      <c r="D2618" s="6" t="s">
        <v>35</v>
      </c>
      <c r="E2618" s="6" t="s">
        <v>312</v>
      </c>
      <c r="F2618" s="6" t="s">
        <v>313</v>
      </c>
      <c r="G2618" s="6" t="s">
        <v>392</v>
      </c>
      <c r="H2618" s="6" t="s">
        <v>393</v>
      </c>
      <c r="I2618" s="6" t="s">
        <v>63</v>
      </c>
      <c r="J2618" s="6">
        <v>18.097052421438999</v>
      </c>
      <c r="K2618" s="6">
        <v>-96.111606340679003</v>
      </c>
      <c r="L2618" s="6" t="str">
        <f>HYPERLINK("https://maps.google.com/?q=18.0970524214389,-96.111606340678605", "🔗 Ver Mapa")</f>
        <v>🔗 Ver Mapa</v>
      </c>
    </row>
    <row r="2619" spans="1:12" ht="43.5" x14ac:dyDescent="0.35">
      <c r="A2619" s="5" t="s">
        <v>8</v>
      </c>
      <c r="B2619" s="5" t="s">
        <v>16</v>
      </c>
      <c r="C2619" s="5" t="s">
        <v>391</v>
      </c>
      <c r="D2619" s="5" t="s">
        <v>35</v>
      </c>
      <c r="E2619" s="5" t="s">
        <v>312</v>
      </c>
      <c r="F2619" s="5" t="s">
        <v>313</v>
      </c>
      <c r="G2619" s="5" t="s">
        <v>392</v>
      </c>
      <c r="H2619" s="5" t="s">
        <v>393</v>
      </c>
      <c r="I2619" s="5" t="s">
        <v>63</v>
      </c>
      <c r="J2619" s="5">
        <v>18.099187204254001</v>
      </c>
      <c r="K2619" s="5">
        <v>-96.104428199015999</v>
      </c>
      <c r="L2619" s="5" t="str">
        <f>HYPERLINK("https://maps.google.com/?q=18.0991872042545,-96.104428199016496", "🔗 Ver Mapa")</f>
        <v>🔗 Ver Mapa</v>
      </c>
    </row>
    <row r="2620" spans="1:12" ht="43.5" x14ac:dyDescent="0.35">
      <c r="A2620" s="6" t="s">
        <v>8</v>
      </c>
      <c r="B2620" s="6" t="s">
        <v>16</v>
      </c>
      <c r="C2620" s="6" t="s">
        <v>391</v>
      </c>
      <c r="D2620" s="6" t="s">
        <v>35</v>
      </c>
      <c r="E2620" s="6" t="s">
        <v>312</v>
      </c>
      <c r="F2620" s="6" t="s">
        <v>313</v>
      </c>
      <c r="G2620" s="6" t="s">
        <v>392</v>
      </c>
      <c r="H2620" s="6" t="s">
        <v>393</v>
      </c>
      <c r="I2620" s="6" t="s">
        <v>63</v>
      </c>
      <c r="J2620" s="6">
        <v>18.101460695305001</v>
      </c>
      <c r="K2620" s="6">
        <v>-96.102768999999995</v>
      </c>
      <c r="L2620" s="6" t="str">
        <f>HYPERLINK("https://maps.google.com/?q=18.1014606953049,-96.102768999999697", "🔗 Ver Mapa")</f>
        <v>🔗 Ver Mapa</v>
      </c>
    </row>
    <row r="2621" spans="1:12" ht="43.5" x14ac:dyDescent="0.35">
      <c r="A2621" s="5" t="s">
        <v>8</v>
      </c>
      <c r="B2621" s="5" t="s">
        <v>16</v>
      </c>
      <c r="C2621" s="5" t="s">
        <v>391</v>
      </c>
      <c r="D2621" s="5" t="s">
        <v>35</v>
      </c>
      <c r="E2621" s="5" t="s">
        <v>312</v>
      </c>
      <c r="F2621" s="5" t="s">
        <v>313</v>
      </c>
      <c r="G2621" s="5" t="s">
        <v>392</v>
      </c>
      <c r="H2621" s="5" t="s">
        <v>393</v>
      </c>
      <c r="I2621" s="5" t="s">
        <v>63</v>
      </c>
      <c r="J2621" s="5">
        <v>18.102252332666001</v>
      </c>
      <c r="K2621" s="5">
        <v>-96.103475200901002</v>
      </c>
      <c r="L2621" s="5" t="str">
        <f>HYPERLINK("https://maps.google.com/?q=18.1022523326661,-96.103475200901002", "🔗 Ver Mapa")</f>
        <v>🔗 Ver Mapa</v>
      </c>
    </row>
    <row r="2622" spans="1:12" ht="43.5" x14ac:dyDescent="0.35">
      <c r="A2622" s="6" t="s">
        <v>8</v>
      </c>
      <c r="B2622" s="6" t="s">
        <v>16</v>
      </c>
      <c r="C2622" s="6" t="s">
        <v>391</v>
      </c>
      <c r="D2622" s="6" t="s">
        <v>35</v>
      </c>
      <c r="E2622" s="6" t="s">
        <v>312</v>
      </c>
      <c r="F2622" s="6" t="s">
        <v>313</v>
      </c>
      <c r="G2622" s="6" t="s">
        <v>392</v>
      </c>
      <c r="H2622" s="6" t="s">
        <v>393</v>
      </c>
      <c r="I2622" s="6" t="s">
        <v>63</v>
      </c>
      <c r="J2622" s="6">
        <v>18.102526365616999</v>
      </c>
      <c r="K2622" s="6">
        <v>-96.104420543613998</v>
      </c>
      <c r="L2622" s="6" t="str">
        <f>HYPERLINK("https://maps.google.com/?q=18.1025263656167,-96.104420543613799", "🔗 Ver Mapa")</f>
        <v>🔗 Ver Mapa</v>
      </c>
    </row>
    <row r="2623" spans="1:12" ht="43.5" x14ac:dyDescent="0.35">
      <c r="A2623" s="5" t="s">
        <v>8</v>
      </c>
      <c r="B2623" s="5" t="s">
        <v>16</v>
      </c>
      <c r="C2623" s="5" t="s">
        <v>391</v>
      </c>
      <c r="D2623" s="5" t="s">
        <v>35</v>
      </c>
      <c r="E2623" s="5" t="s">
        <v>312</v>
      </c>
      <c r="F2623" s="5" t="s">
        <v>313</v>
      </c>
      <c r="G2623" s="5" t="s">
        <v>392</v>
      </c>
      <c r="H2623" s="5" t="s">
        <v>393</v>
      </c>
      <c r="I2623" s="5" t="s">
        <v>63</v>
      </c>
      <c r="J2623" s="5">
        <v>18.102716414311999</v>
      </c>
      <c r="K2623" s="5">
        <v>-96.104588250258004</v>
      </c>
      <c r="L2623" s="5" t="str">
        <f>HYPERLINK("https://maps.google.com/?q=18.1027164143122,-96.104588250258402", "🔗 Ver Mapa")</f>
        <v>🔗 Ver Mapa</v>
      </c>
    </row>
    <row r="2624" spans="1:12" ht="43.5" x14ac:dyDescent="0.35">
      <c r="A2624" s="6" t="s">
        <v>8</v>
      </c>
      <c r="B2624" s="6" t="s">
        <v>16</v>
      </c>
      <c r="C2624" s="6" t="s">
        <v>391</v>
      </c>
      <c r="D2624" s="6" t="s">
        <v>35</v>
      </c>
      <c r="E2624" s="6" t="s">
        <v>312</v>
      </c>
      <c r="F2624" s="6" t="s">
        <v>313</v>
      </c>
      <c r="G2624" s="6" t="s">
        <v>392</v>
      </c>
      <c r="H2624" s="6" t="s">
        <v>393</v>
      </c>
      <c r="I2624" s="6" t="s">
        <v>63</v>
      </c>
      <c r="J2624" s="6">
        <v>18.102848572578999</v>
      </c>
      <c r="K2624" s="6">
        <v>-96.104807450706005</v>
      </c>
      <c r="L2624" s="6" t="str">
        <f>HYPERLINK("https://maps.google.com/?q=18.102848572579,-96.104807450705906", "🔗 Ver Mapa")</f>
        <v>🔗 Ver Mapa</v>
      </c>
    </row>
    <row r="2625" spans="1:12" ht="43.5" x14ac:dyDescent="0.35">
      <c r="A2625" s="5" t="s">
        <v>8</v>
      </c>
      <c r="B2625" s="5" t="s">
        <v>16</v>
      </c>
      <c r="C2625" s="5" t="s">
        <v>394</v>
      </c>
      <c r="D2625" s="5" t="s">
        <v>35</v>
      </c>
      <c r="E2625" s="5" t="s">
        <v>312</v>
      </c>
      <c r="F2625" s="5" t="s">
        <v>313</v>
      </c>
      <c r="G2625" s="5" t="s">
        <v>392</v>
      </c>
      <c r="H2625" s="5" t="s">
        <v>395</v>
      </c>
      <c r="I2625" s="5" t="s">
        <v>63</v>
      </c>
      <c r="J2625" s="5">
        <v>17.983045718383998</v>
      </c>
      <c r="K2625" s="5">
        <v>-96.099500245589994</v>
      </c>
      <c r="L2625" s="5" t="str">
        <f>HYPERLINK("https://maps.google.com/?q=17.9830457183843,-96.099500245589695", "🔗 Ver Mapa")</f>
        <v>🔗 Ver Mapa</v>
      </c>
    </row>
    <row r="2626" spans="1:12" ht="43.5" x14ac:dyDescent="0.35">
      <c r="A2626" s="6" t="s">
        <v>8</v>
      </c>
      <c r="B2626" s="6" t="s">
        <v>16</v>
      </c>
      <c r="C2626" s="6" t="s">
        <v>394</v>
      </c>
      <c r="D2626" s="6" t="s">
        <v>35</v>
      </c>
      <c r="E2626" s="6" t="s">
        <v>312</v>
      </c>
      <c r="F2626" s="6" t="s">
        <v>313</v>
      </c>
      <c r="G2626" s="6" t="s">
        <v>392</v>
      </c>
      <c r="H2626" s="6" t="s">
        <v>395</v>
      </c>
      <c r="I2626" s="6" t="s">
        <v>63</v>
      </c>
      <c r="J2626" s="6">
        <v>17.983832758664001</v>
      </c>
      <c r="K2626" s="6">
        <v>-96.099533093253996</v>
      </c>
      <c r="L2626" s="6" t="str">
        <f>HYPERLINK("https://maps.google.com/?q=17.9838327586639,-96.099533093254195", "🔗 Ver Mapa")</f>
        <v>🔗 Ver Mapa</v>
      </c>
    </row>
    <row r="2627" spans="1:12" ht="43.5" x14ac:dyDescent="0.35">
      <c r="A2627" s="5" t="s">
        <v>8</v>
      </c>
      <c r="B2627" s="5" t="s">
        <v>16</v>
      </c>
      <c r="C2627" s="5" t="s">
        <v>394</v>
      </c>
      <c r="D2627" s="5" t="s">
        <v>35</v>
      </c>
      <c r="E2627" s="5" t="s">
        <v>312</v>
      </c>
      <c r="F2627" s="5" t="s">
        <v>313</v>
      </c>
      <c r="G2627" s="5" t="s">
        <v>392</v>
      </c>
      <c r="H2627" s="5" t="s">
        <v>395</v>
      </c>
      <c r="I2627" s="5" t="s">
        <v>63</v>
      </c>
      <c r="J2627" s="5">
        <v>17.983992002832998</v>
      </c>
      <c r="K2627" s="5">
        <v>-96.099987023314</v>
      </c>
      <c r="L2627" s="5" t="str">
        <f>HYPERLINK("https://maps.google.com/?q=17.9839920028328,-96.099987023313602", "🔗 Ver Mapa")</f>
        <v>🔗 Ver Mapa</v>
      </c>
    </row>
    <row r="2628" spans="1:12" ht="43.5" x14ac:dyDescent="0.35">
      <c r="A2628" s="6" t="s">
        <v>8</v>
      </c>
      <c r="B2628" s="6" t="s">
        <v>16</v>
      </c>
      <c r="C2628" s="6" t="s">
        <v>394</v>
      </c>
      <c r="D2628" s="6" t="s">
        <v>35</v>
      </c>
      <c r="E2628" s="6" t="s">
        <v>312</v>
      </c>
      <c r="F2628" s="6" t="s">
        <v>313</v>
      </c>
      <c r="G2628" s="6" t="s">
        <v>392</v>
      </c>
      <c r="H2628" s="6" t="s">
        <v>395</v>
      </c>
      <c r="I2628" s="6" t="s">
        <v>63</v>
      </c>
      <c r="J2628" s="6">
        <v>17.984384970068</v>
      </c>
      <c r="K2628" s="6">
        <v>-96.098296880950997</v>
      </c>
      <c r="L2628" s="6" t="str">
        <f>HYPERLINK("https://maps.google.com/?q=17.9843849700679,-96.098296880950798", "🔗 Ver Mapa")</f>
        <v>🔗 Ver Mapa</v>
      </c>
    </row>
    <row r="2629" spans="1:12" ht="43.5" x14ac:dyDescent="0.35">
      <c r="A2629" s="5" t="s">
        <v>8</v>
      </c>
      <c r="B2629" s="5" t="s">
        <v>16</v>
      </c>
      <c r="C2629" s="5" t="s">
        <v>394</v>
      </c>
      <c r="D2629" s="5" t="s">
        <v>35</v>
      </c>
      <c r="E2629" s="5" t="s">
        <v>312</v>
      </c>
      <c r="F2629" s="5" t="s">
        <v>313</v>
      </c>
      <c r="G2629" s="5" t="s">
        <v>392</v>
      </c>
      <c r="H2629" s="5" t="s">
        <v>395</v>
      </c>
      <c r="I2629" s="5" t="s">
        <v>63</v>
      </c>
      <c r="J2629" s="5">
        <v>17.984386789995</v>
      </c>
      <c r="K2629" s="5">
        <v>-96.101580209822004</v>
      </c>
      <c r="L2629" s="5" t="str">
        <f>HYPERLINK("https://maps.google.com/?q=17.9843867899952,-96.101580209821805", "🔗 Ver Mapa")</f>
        <v>🔗 Ver Mapa</v>
      </c>
    </row>
    <row r="2630" spans="1:12" ht="43.5" x14ac:dyDescent="0.35">
      <c r="A2630" s="6" t="s">
        <v>8</v>
      </c>
      <c r="B2630" s="6" t="s">
        <v>16</v>
      </c>
      <c r="C2630" s="6" t="s">
        <v>394</v>
      </c>
      <c r="D2630" s="6" t="s">
        <v>35</v>
      </c>
      <c r="E2630" s="6" t="s">
        <v>312</v>
      </c>
      <c r="F2630" s="6" t="s">
        <v>313</v>
      </c>
      <c r="G2630" s="6" t="s">
        <v>392</v>
      </c>
      <c r="H2630" s="6" t="s">
        <v>395</v>
      </c>
      <c r="I2630" s="6" t="s">
        <v>63</v>
      </c>
      <c r="J2630" s="6">
        <v>17.984414483043</v>
      </c>
      <c r="K2630" s="6">
        <v>-96.10001317791</v>
      </c>
      <c r="L2630" s="6" t="str">
        <f>HYPERLINK("https://maps.google.com/?q=17.984414483043,-96.100013177909901", "🔗 Ver Mapa")</f>
        <v>🔗 Ver Mapa</v>
      </c>
    </row>
    <row r="2631" spans="1:12" ht="43.5" x14ac:dyDescent="0.35">
      <c r="A2631" s="5" t="s">
        <v>8</v>
      </c>
      <c r="B2631" s="5" t="s">
        <v>16</v>
      </c>
      <c r="C2631" s="5" t="s">
        <v>394</v>
      </c>
      <c r="D2631" s="5" t="s">
        <v>35</v>
      </c>
      <c r="E2631" s="5" t="s">
        <v>312</v>
      </c>
      <c r="F2631" s="5" t="s">
        <v>313</v>
      </c>
      <c r="G2631" s="5" t="s">
        <v>392</v>
      </c>
      <c r="H2631" s="5" t="s">
        <v>395</v>
      </c>
      <c r="I2631" s="5" t="s">
        <v>63</v>
      </c>
      <c r="J2631" s="5">
        <v>17.984690379356</v>
      </c>
      <c r="K2631" s="5">
        <v>-96.098858164494999</v>
      </c>
      <c r="L2631" s="5" t="str">
        <f>HYPERLINK("https://maps.google.com/?q=17.9846903793562,-96.098858164494501", "🔗 Ver Mapa")</f>
        <v>🔗 Ver Mapa</v>
      </c>
    </row>
    <row r="2632" spans="1:12" ht="43.5" x14ac:dyDescent="0.35">
      <c r="A2632" s="6" t="s">
        <v>8</v>
      </c>
      <c r="B2632" s="6" t="s">
        <v>16</v>
      </c>
      <c r="C2632" s="6" t="s">
        <v>394</v>
      </c>
      <c r="D2632" s="6" t="s">
        <v>35</v>
      </c>
      <c r="E2632" s="6" t="s">
        <v>312</v>
      </c>
      <c r="F2632" s="6" t="s">
        <v>313</v>
      </c>
      <c r="G2632" s="6" t="s">
        <v>392</v>
      </c>
      <c r="H2632" s="6" t="s">
        <v>395</v>
      </c>
      <c r="I2632" s="6" t="s">
        <v>63</v>
      </c>
      <c r="J2632" s="6">
        <v>17.985222196971002</v>
      </c>
      <c r="K2632" s="6">
        <v>-96.101547302650005</v>
      </c>
      <c r="L2632" s="6" t="str">
        <f>HYPERLINK("https://maps.google.com/?q=17.985222196971,-96.101547302650204", "🔗 Ver Mapa")</f>
        <v>🔗 Ver Mapa</v>
      </c>
    </row>
    <row r="2633" spans="1:12" ht="43.5" x14ac:dyDescent="0.35">
      <c r="A2633" s="5" t="s">
        <v>8</v>
      </c>
      <c r="B2633" s="5" t="s">
        <v>16</v>
      </c>
      <c r="C2633" s="5" t="s">
        <v>394</v>
      </c>
      <c r="D2633" s="5" t="s">
        <v>35</v>
      </c>
      <c r="E2633" s="5" t="s">
        <v>312</v>
      </c>
      <c r="F2633" s="5" t="s">
        <v>313</v>
      </c>
      <c r="G2633" s="5" t="s">
        <v>392</v>
      </c>
      <c r="H2633" s="5" t="s">
        <v>395</v>
      </c>
      <c r="I2633" s="5" t="s">
        <v>63</v>
      </c>
      <c r="J2633" s="5">
        <v>17.985490963114</v>
      </c>
      <c r="K2633" s="5">
        <v>-96.101264116568004</v>
      </c>
      <c r="L2633" s="5" t="str">
        <f>HYPERLINK("https://maps.google.com/?q=17.985490963114,-96.101264116567705", "🔗 Ver Mapa")</f>
        <v>🔗 Ver Mapa</v>
      </c>
    </row>
    <row r="2634" spans="1:12" ht="43.5" x14ac:dyDescent="0.35">
      <c r="A2634" s="6" t="s">
        <v>8</v>
      </c>
      <c r="B2634" s="6" t="s">
        <v>16</v>
      </c>
      <c r="C2634" s="6" t="s">
        <v>394</v>
      </c>
      <c r="D2634" s="6" t="s">
        <v>35</v>
      </c>
      <c r="E2634" s="6" t="s">
        <v>312</v>
      </c>
      <c r="F2634" s="6" t="s">
        <v>313</v>
      </c>
      <c r="G2634" s="6" t="s">
        <v>392</v>
      </c>
      <c r="H2634" s="6" t="s">
        <v>395</v>
      </c>
      <c r="I2634" s="6" t="s">
        <v>63</v>
      </c>
      <c r="J2634" s="6">
        <v>17.985569963103998</v>
      </c>
      <c r="K2634" s="6">
        <v>-96.099949845403998</v>
      </c>
      <c r="L2634" s="6" t="str">
        <f>HYPERLINK("https://maps.google.com/?q=17.9855699631038,-96.099949845403799", "🔗 Ver Mapa")</f>
        <v>🔗 Ver Mapa</v>
      </c>
    </row>
    <row r="2635" spans="1:12" ht="43.5" x14ac:dyDescent="0.35">
      <c r="A2635" s="5" t="s">
        <v>8</v>
      </c>
      <c r="B2635" s="5" t="s">
        <v>16</v>
      </c>
      <c r="C2635" s="5" t="s">
        <v>394</v>
      </c>
      <c r="D2635" s="5" t="s">
        <v>35</v>
      </c>
      <c r="E2635" s="5" t="s">
        <v>312</v>
      </c>
      <c r="F2635" s="5" t="s">
        <v>313</v>
      </c>
      <c r="G2635" s="5" t="s">
        <v>392</v>
      </c>
      <c r="H2635" s="5" t="s">
        <v>395</v>
      </c>
      <c r="I2635" s="5" t="s">
        <v>63</v>
      </c>
      <c r="J2635" s="5">
        <v>17.985648818257001</v>
      </c>
      <c r="K2635" s="5">
        <v>-96.101282432280996</v>
      </c>
      <c r="L2635" s="5" t="str">
        <f>HYPERLINK("https://maps.google.com/?q=17.9856488182575,-96.101282432281195", "🔗 Ver Mapa")</f>
        <v>🔗 Ver Mapa</v>
      </c>
    </row>
    <row r="2636" spans="1:12" ht="43.5" x14ac:dyDescent="0.35">
      <c r="A2636" s="6" t="s">
        <v>8</v>
      </c>
      <c r="B2636" s="6" t="s">
        <v>16</v>
      </c>
      <c r="C2636" s="6" t="s">
        <v>394</v>
      </c>
      <c r="D2636" s="6" t="s">
        <v>35</v>
      </c>
      <c r="E2636" s="6" t="s">
        <v>312</v>
      </c>
      <c r="F2636" s="6" t="s">
        <v>313</v>
      </c>
      <c r="G2636" s="6" t="s">
        <v>392</v>
      </c>
      <c r="H2636" s="6" t="s">
        <v>395</v>
      </c>
      <c r="I2636" s="6" t="s">
        <v>63</v>
      </c>
      <c r="J2636" s="6">
        <v>17.986001733706001</v>
      </c>
      <c r="K2636" s="6">
        <v>-96.101765946602001</v>
      </c>
      <c r="L2636" s="6" t="str">
        <f>HYPERLINK("https://maps.google.com/?q=17.986001733706,-96.101765946601802", "🔗 Ver Mapa")</f>
        <v>🔗 Ver Mapa</v>
      </c>
    </row>
    <row r="2637" spans="1:12" ht="43.5" x14ac:dyDescent="0.35">
      <c r="A2637" s="5" t="s">
        <v>8</v>
      </c>
      <c r="B2637" s="5" t="s">
        <v>16</v>
      </c>
      <c r="C2637" s="5" t="s">
        <v>394</v>
      </c>
      <c r="D2637" s="5" t="s">
        <v>35</v>
      </c>
      <c r="E2637" s="5" t="s">
        <v>312</v>
      </c>
      <c r="F2637" s="5" t="s">
        <v>313</v>
      </c>
      <c r="G2637" s="5" t="s">
        <v>392</v>
      </c>
      <c r="H2637" s="5" t="s">
        <v>395</v>
      </c>
      <c r="I2637" s="5" t="s">
        <v>63</v>
      </c>
      <c r="J2637" s="5">
        <v>17.986075309636</v>
      </c>
      <c r="K2637" s="5">
        <v>-96.099834294478001</v>
      </c>
      <c r="L2637" s="5" t="str">
        <f>HYPERLINK("https://maps.google.com/?q=17.9860753096361,-96.099834294477503", "🔗 Ver Mapa")</f>
        <v>🔗 Ver Mapa</v>
      </c>
    </row>
    <row r="2638" spans="1:12" ht="43.5" x14ac:dyDescent="0.35">
      <c r="A2638" s="6" t="s">
        <v>8</v>
      </c>
      <c r="B2638" s="6" t="s">
        <v>16</v>
      </c>
      <c r="C2638" s="6" t="s">
        <v>394</v>
      </c>
      <c r="D2638" s="6" t="s">
        <v>35</v>
      </c>
      <c r="E2638" s="6" t="s">
        <v>312</v>
      </c>
      <c r="F2638" s="6" t="s">
        <v>313</v>
      </c>
      <c r="G2638" s="6" t="s">
        <v>392</v>
      </c>
      <c r="H2638" s="6" t="s">
        <v>395</v>
      </c>
      <c r="I2638" s="6" t="s">
        <v>63</v>
      </c>
      <c r="J2638" s="6">
        <v>17.986210829531</v>
      </c>
      <c r="K2638" s="6">
        <v>-96.100624588955</v>
      </c>
      <c r="L2638" s="6" t="str">
        <f>HYPERLINK("https://maps.google.com/?q=17.9862108295308,-96.100624588954901", "🔗 Ver Mapa")</f>
        <v>🔗 Ver Mapa</v>
      </c>
    </row>
    <row r="2639" spans="1:12" ht="43.5" x14ac:dyDescent="0.35">
      <c r="A2639" s="5" t="s">
        <v>8</v>
      </c>
      <c r="B2639" s="5" t="s">
        <v>16</v>
      </c>
      <c r="C2639" s="5" t="s">
        <v>394</v>
      </c>
      <c r="D2639" s="5" t="s">
        <v>35</v>
      </c>
      <c r="E2639" s="5" t="s">
        <v>312</v>
      </c>
      <c r="F2639" s="5" t="s">
        <v>313</v>
      </c>
      <c r="G2639" s="5" t="s">
        <v>392</v>
      </c>
      <c r="H2639" s="5" t="s">
        <v>395</v>
      </c>
      <c r="I2639" s="5" t="s">
        <v>63</v>
      </c>
      <c r="J2639" s="5">
        <v>17.986289798310999</v>
      </c>
      <c r="K2639" s="5">
        <v>-96.099918696923993</v>
      </c>
      <c r="L2639" s="5" t="str">
        <f>HYPERLINK("https://maps.google.com/?q=17.986289798311,-96.099918696924306", "🔗 Ver Mapa")</f>
        <v>🔗 Ver Mapa</v>
      </c>
    </row>
    <row r="2640" spans="1:12" ht="43.5" x14ac:dyDescent="0.35">
      <c r="A2640" s="6" t="s">
        <v>8</v>
      </c>
      <c r="B2640" s="6" t="s">
        <v>16</v>
      </c>
      <c r="C2640" s="6" t="s">
        <v>394</v>
      </c>
      <c r="D2640" s="6" t="s">
        <v>35</v>
      </c>
      <c r="E2640" s="6" t="s">
        <v>312</v>
      </c>
      <c r="F2640" s="6" t="s">
        <v>313</v>
      </c>
      <c r="G2640" s="6" t="s">
        <v>392</v>
      </c>
      <c r="H2640" s="6" t="s">
        <v>395</v>
      </c>
      <c r="I2640" s="6" t="s">
        <v>63</v>
      </c>
      <c r="J2640" s="6">
        <v>17.987063779170001</v>
      </c>
      <c r="K2640" s="6">
        <v>-96.099016705026003</v>
      </c>
      <c r="L2640" s="6" t="str">
        <f>HYPERLINK("https://maps.google.com/?q=17.9870637791703,-96.099016705026401", "🔗 Ver Mapa")</f>
        <v>🔗 Ver Mapa</v>
      </c>
    </row>
    <row r="2641" spans="1:12" ht="43.5" x14ac:dyDescent="0.35">
      <c r="A2641" s="5" t="s">
        <v>8</v>
      </c>
      <c r="B2641" s="5" t="s">
        <v>16</v>
      </c>
      <c r="C2641" s="5" t="s">
        <v>394</v>
      </c>
      <c r="D2641" s="5" t="s">
        <v>35</v>
      </c>
      <c r="E2641" s="5" t="s">
        <v>312</v>
      </c>
      <c r="F2641" s="5" t="s">
        <v>313</v>
      </c>
      <c r="G2641" s="5" t="s">
        <v>392</v>
      </c>
      <c r="H2641" s="5" t="s">
        <v>395</v>
      </c>
      <c r="I2641" s="5" t="s">
        <v>63</v>
      </c>
      <c r="J2641" s="5">
        <v>17.987705665709001</v>
      </c>
      <c r="K2641" s="5">
        <v>-96.101395613327</v>
      </c>
      <c r="L2641" s="5" t="str">
        <f>HYPERLINK("https://maps.google.com/?q=17.9877056657093,-96.101395613327199", "🔗 Ver Mapa")</f>
        <v>🔗 Ver Mapa</v>
      </c>
    </row>
    <row r="2642" spans="1:12" ht="43.5" x14ac:dyDescent="0.35">
      <c r="A2642" s="6" t="s">
        <v>8</v>
      </c>
      <c r="B2642" s="6" t="s">
        <v>16</v>
      </c>
      <c r="C2642" s="6" t="s">
        <v>394</v>
      </c>
      <c r="D2642" s="6" t="s">
        <v>35</v>
      </c>
      <c r="E2642" s="6" t="s">
        <v>312</v>
      </c>
      <c r="F2642" s="6" t="s">
        <v>313</v>
      </c>
      <c r="G2642" s="6" t="s">
        <v>392</v>
      </c>
      <c r="H2642" s="6" t="s">
        <v>395</v>
      </c>
      <c r="I2642" s="6" t="s">
        <v>63</v>
      </c>
      <c r="J2642" s="6">
        <v>17.991094172682999</v>
      </c>
      <c r="K2642" s="6">
        <v>-96.102411418040006</v>
      </c>
      <c r="L2642" s="6" t="str">
        <f>HYPERLINK("https://maps.google.com/?q=17.9910941726835,-96.102411418040006", "🔗 Ver Mapa")</f>
        <v>🔗 Ver Mapa</v>
      </c>
    </row>
    <row r="2643" spans="1:12" ht="43.5" x14ac:dyDescent="0.35">
      <c r="A2643" s="5" t="s">
        <v>8</v>
      </c>
      <c r="B2643" s="5" t="s">
        <v>16</v>
      </c>
      <c r="C2643" s="5" t="s">
        <v>394</v>
      </c>
      <c r="D2643" s="5" t="s">
        <v>35</v>
      </c>
      <c r="E2643" s="5" t="s">
        <v>312</v>
      </c>
      <c r="F2643" s="5" t="s">
        <v>313</v>
      </c>
      <c r="G2643" s="5" t="s">
        <v>392</v>
      </c>
      <c r="H2643" s="5" t="s">
        <v>395</v>
      </c>
      <c r="I2643" s="5" t="s">
        <v>63</v>
      </c>
      <c r="J2643" s="5">
        <v>17.991126545789999</v>
      </c>
      <c r="K2643" s="5">
        <v>-96.102824077872995</v>
      </c>
      <c r="L2643" s="5" t="str">
        <f>HYPERLINK("https://maps.google.com/?q=17.9911265457903,-96.102824077873294", "🔗 Ver Mapa")</f>
        <v>🔗 Ver Mapa</v>
      </c>
    </row>
    <row r="2644" spans="1:12" ht="43.5" x14ac:dyDescent="0.35">
      <c r="A2644" s="6" t="s">
        <v>8</v>
      </c>
      <c r="B2644" s="6" t="s">
        <v>16</v>
      </c>
      <c r="C2644" s="6" t="s">
        <v>394</v>
      </c>
      <c r="D2644" s="6" t="s">
        <v>35</v>
      </c>
      <c r="E2644" s="6" t="s">
        <v>312</v>
      </c>
      <c r="F2644" s="6" t="s">
        <v>313</v>
      </c>
      <c r="G2644" s="6" t="s">
        <v>392</v>
      </c>
      <c r="H2644" s="6" t="s">
        <v>395</v>
      </c>
      <c r="I2644" s="6" t="s">
        <v>63</v>
      </c>
      <c r="J2644" s="6">
        <v>17.991883881395999</v>
      </c>
      <c r="K2644" s="6">
        <v>-96.101870667769006</v>
      </c>
      <c r="L2644" s="6" t="str">
        <f>HYPERLINK("https://maps.google.com/?q=17.9918838813958,-96.101870667768793", "🔗 Ver Mapa")</f>
        <v>🔗 Ver Mapa</v>
      </c>
    </row>
    <row r="2645" spans="1:12" ht="43.5" x14ac:dyDescent="0.35">
      <c r="A2645" s="5" t="s">
        <v>8</v>
      </c>
      <c r="B2645" s="5" t="s">
        <v>16</v>
      </c>
      <c r="C2645" s="5" t="s">
        <v>396</v>
      </c>
      <c r="D2645" s="5" t="s">
        <v>35</v>
      </c>
      <c r="E2645" s="5" t="s">
        <v>312</v>
      </c>
      <c r="F2645" s="5" t="s">
        <v>313</v>
      </c>
      <c r="G2645" s="5" t="s">
        <v>392</v>
      </c>
      <c r="H2645" s="5" t="s">
        <v>397</v>
      </c>
      <c r="I2645" s="5" t="s">
        <v>63</v>
      </c>
      <c r="J2645" s="5">
        <v>18.117109608079002</v>
      </c>
      <c r="K2645" s="5">
        <v>-95.997660600962007</v>
      </c>
      <c r="L2645" s="5" t="str">
        <f>HYPERLINK("https://maps.google.com/?q=18.1171096080792,-95.997660600962405", "🔗 Ver Mapa")</f>
        <v>🔗 Ver Mapa</v>
      </c>
    </row>
    <row r="2646" spans="1:12" ht="43.5" x14ac:dyDescent="0.35">
      <c r="A2646" s="6" t="s">
        <v>8</v>
      </c>
      <c r="B2646" s="6" t="s">
        <v>16</v>
      </c>
      <c r="C2646" s="6" t="s">
        <v>396</v>
      </c>
      <c r="D2646" s="6" t="s">
        <v>35</v>
      </c>
      <c r="E2646" s="6" t="s">
        <v>312</v>
      </c>
      <c r="F2646" s="6" t="s">
        <v>313</v>
      </c>
      <c r="G2646" s="6" t="s">
        <v>392</v>
      </c>
      <c r="H2646" s="6" t="s">
        <v>397</v>
      </c>
      <c r="I2646" s="6" t="s">
        <v>63</v>
      </c>
      <c r="J2646" s="6">
        <v>18.117307755106001</v>
      </c>
      <c r="K2646" s="6">
        <v>-95.997645107034003</v>
      </c>
      <c r="L2646" s="6" t="str">
        <f>HYPERLINK("https://maps.google.com/?q=18.1173077551064,-95.997645107034003", "🔗 Ver Mapa")</f>
        <v>🔗 Ver Mapa</v>
      </c>
    </row>
    <row r="2647" spans="1:12" ht="43.5" x14ac:dyDescent="0.35">
      <c r="A2647" s="5" t="s">
        <v>8</v>
      </c>
      <c r="B2647" s="5" t="s">
        <v>16</v>
      </c>
      <c r="C2647" s="5" t="s">
        <v>396</v>
      </c>
      <c r="D2647" s="5" t="s">
        <v>35</v>
      </c>
      <c r="E2647" s="5" t="s">
        <v>312</v>
      </c>
      <c r="F2647" s="5" t="s">
        <v>313</v>
      </c>
      <c r="G2647" s="5" t="s">
        <v>392</v>
      </c>
      <c r="H2647" s="5" t="s">
        <v>397</v>
      </c>
      <c r="I2647" s="5" t="s">
        <v>63</v>
      </c>
      <c r="J2647" s="5">
        <v>18.119300789777999</v>
      </c>
      <c r="K2647" s="5">
        <v>-96.002512198096994</v>
      </c>
      <c r="L2647" s="5" t="str">
        <f>HYPERLINK("https://maps.google.com/?q=18.1193007897782,-96.002512198097406", "🔗 Ver Mapa")</f>
        <v>🔗 Ver Mapa</v>
      </c>
    </row>
    <row r="2648" spans="1:12" ht="43.5" x14ac:dyDescent="0.35">
      <c r="A2648" s="6" t="s">
        <v>8</v>
      </c>
      <c r="B2648" s="6" t="s">
        <v>16</v>
      </c>
      <c r="C2648" s="6" t="s">
        <v>396</v>
      </c>
      <c r="D2648" s="6" t="s">
        <v>35</v>
      </c>
      <c r="E2648" s="6" t="s">
        <v>312</v>
      </c>
      <c r="F2648" s="6" t="s">
        <v>313</v>
      </c>
      <c r="G2648" s="6" t="s">
        <v>392</v>
      </c>
      <c r="H2648" s="6" t="s">
        <v>397</v>
      </c>
      <c r="I2648" s="6" t="s">
        <v>63</v>
      </c>
      <c r="J2648" s="6">
        <v>18.119855408085002</v>
      </c>
      <c r="K2648" s="6">
        <v>-96.003234354469001</v>
      </c>
      <c r="L2648" s="6" t="str">
        <f>HYPERLINK("https://maps.google.com/?q=18.1198554080846,-96.003234354468603", "🔗 Ver Mapa")</f>
        <v>🔗 Ver Mapa</v>
      </c>
    </row>
    <row r="2649" spans="1:12" ht="43.5" x14ac:dyDescent="0.35">
      <c r="A2649" s="5" t="s">
        <v>8</v>
      </c>
      <c r="B2649" s="5" t="s">
        <v>16</v>
      </c>
      <c r="C2649" s="5" t="s">
        <v>396</v>
      </c>
      <c r="D2649" s="5" t="s">
        <v>35</v>
      </c>
      <c r="E2649" s="5" t="s">
        <v>312</v>
      </c>
      <c r="F2649" s="5" t="s">
        <v>313</v>
      </c>
      <c r="G2649" s="5" t="s">
        <v>392</v>
      </c>
      <c r="H2649" s="5" t="s">
        <v>397</v>
      </c>
      <c r="I2649" s="5" t="s">
        <v>63</v>
      </c>
      <c r="J2649" s="5">
        <v>18.12009557763</v>
      </c>
      <c r="K2649" s="5">
        <v>-95.999025721788996</v>
      </c>
      <c r="L2649" s="5" t="str">
        <f>HYPERLINK("https://maps.google.com/?q=18.1200955776299,-95.999025721788698", "🔗 Ver Mapa")</f>
        <v>🔗 Ver Mapa</v>
      </c>
    </row>
    <row r="2650" spans="1:12" ht="43.5" x14ac:dyDescent="0.35">
      <c r="A2650" s="6" t="s">
        <v>8</v>
      </c>
      <c r="B2650" s="6" t="s">
        <v>16</v>
      </c>
      <c r="C2650" s="6" t="s">
        <v>396</v>
      </c>
      <c r="D2650" s="6" t="s">
        <v>35</v>
      </c>
      <c r="E2650" s="6" t="s">
        <v>312</v>
      </c>
      <c r="F2650" s="6" t="s">
        <v>313</v>
      </c>
      <c r="G2650" s="6" t="s">
        <v>392</v>
      </c>
      <c r="H2650" s="6" t="s">
        <v>397</v>
      </c>
      <c r="I2650" s="6" t="s">
        <v>63</v>
      </c>
      <c r="J2650" s="6">
        <v>18.120278443198998</v>
      </c>
      <c r="K2650" s="6">
        <v>-96.002578685196994</v>
      </c>
      <c r="L2650" s="6" t="str">
        <f>HYPERLINK("https://maps.google.com/?q=18.1202784431987,-96.002578685197093", "🔗 Ver Mapa")</f>
        <v>🔗 Ver Mapa</v>
      </c>
    </row>
    <row r="2651" spans="1:12" ht="43.5" x14ac:dyDescent="0.35">
      <c r="A2651" s="5" t="s">
        <v>8</v>
      </c>
      <c r="B2651" s="5" t="s">
        <v>16</v>
      </c>
      <c r="C2651" s="5" t="s">
        <v>396</v>
      </c>
      <c r="D2651" s="5" t="s">
        <v>35</v>
      </c>
      <c r="E2651" s="5" t="s">
        <v>312</v>
      </c>
      <c r="F2651" s="5" t="s">
        <v>313</v>
      </c>
      <c r="G2651" s="5" t="s">
        <v>392</v>
      </c>
      <c r="H2651" s="5" t="s">
        <v>397</v>
      </c>
      <c r="I2651" s="5" t="s">
        <v>63</v>
      </c>
      <c r="J2651" s="5">
        <v>18.121533772856001</v>
      </c>
      <c r="K2651" s="5">
        <v>-95.999139467790997</v>
      </c>
      <c r="L2651" s="5" t="str">
        <f>HYPERLINK("https://maps.google.com/?q=18.121533772856,-95.999139467790599", "🔗 Ver Mapa")</f>
        <v>🔗 Ver Mapa</v>
      </c>
    </row>
    <row r="2652" spans="1:12" ht="43.5" x14ac:dyDescent="0.35">
      <c r="A2652" s="6" t="s">
        <v>8</v>
      </c>
      <c r="B2652" s="6" t="s">
        <v>16</v>
      </c>
      <c r="C2652" s="6" t="s">
        <v>396</v>
      </c>
      <c r="D2652" s="6" t="s">
        <v>35</v>
      </c>
      <c r="E2652" s="6" t="s">
        <v>312</v>
      </c>
      <c r="F2652" s="6" t="s">
        <v>313</v>
      </c>
      <c r="G2652" s="6" t="s">
        <v>392</v>
      </c>
      <c r="H2652" s="6" t="s">
        <v>397</v>
      </c>
      <c r="I2652" s="6" t="s">
        <v>63</v>
      </c>
      <c r="J2652" s="6">
        <v>18.122189295855001</v>
      </c>
      <c r="K2652" s="6">
        <v>-95.999786714471</v>
      </c>
      <c r="L2652" s="6" t="str">
        <f>HYPERLINK("https://maps.google.com/?q=18.1221892958549,-95.999786714470801", "🔗 Ver Mapa")</f>
        <v>🔗 Ver Mapa</v>
      </c>
    </row>
    <row r="2653" spans="1:12" ht="43.5" x14ac:dyDescent="0.35">
      <c r="A2653" s="5" t="s">
        <v>8</v>
      </c>
      <c r="B2653" s="5" t="s">
        <v>16</v>
      </c>
      <c r="C2653" s="5" t="s">
        <v>396</v>
      </c>
      <c r="D2653" s="5" t="s">
        <v>35</v>
      </c>
      <c r="E2653" s="5" t="s">
        <v>312</v>
      </c>
      <c r="F2653" s="5" t="s">
        <v>313</v>
      </c>
      <c r="G2653" s="5" t="s">
        <v>392</v>
      </c>
      <c r="H2653" s="5" t="s">
        <v>397</v>
      </c>
      <c r="I2653" s="5" t="s">
        <v>63</v>
      </c>
      <c r="J2653" s="5">
        <v>18.124339208847999</v>
      </c>
      <c r="K2653" s="5">
        <v>-95.997626712848003</v>
      </c>
      <c r="L2653" s="5" t="str">
        <f>HYPERLINK("https://maps.google.com/?q=18.1243392088484,-95.997626712847804", "🔗 Ver Mapa")</f>
        <v>🔗 Ver Mapa</v>
      </c>
    </row>
    <row r="2654" spans="1:12" ht="43.5" x14ac:dyDescent="0.35">
      <c r="A2654" s="6" t="s">
        <v>8</v>
      </c>
      <c r="B2654" s="6" t="s">
        <v>16</v>
      </c>
      <c r="C2654" s="6" t="s">
        <v>396</v>
      </c>
      <c r="D2654" s="6" t="s">
        <v>35</v>
      </c>
      <c r="E2654" s="6" t="s">
        <v>312</v>
      </c>
      <c r="F2654" s="6" t="s">
        <v>313</v>
      </c>
      <c r="G2654" s="6" t="s">
        <v>392</v>
      </c>
      <c r="H2654" s="6" t="s">
        <v>397</v>
      </c>
      <c r="I2654" s="6" t="s">
        <v>63</v>
      </c>
      <c r="J2654" s="6">
        <v>18.124430249382002</v>
      </c>
      <c r="K2654" s="6">
        <v>-96.001087563385994</v>
      </c>
      <c r="L2654" s="6" t="str">
        <f>HYPERLINK("https://maps.google.com/?q=18.1244302493815,-96.001087563386307", "🔗 Ver Mapa")</f>
        <v>🔗 Ver Mapa</v>
      </c>
    </row>
    <row r="2655" spans="1:12" ht="43.5" x14ac:dyDescent="0.35">
      <c r="A2655" s="5" t="s">
        <v>8</v>
      </c>
      <c r="B2655" s="5" t="s">
        <v>16</v>
      </c>
      <c r="C2655" s="5" t="s">
        <v>396</v>
      </c>
      <c r="D2655" s="5" t="s">
        <v>35</v>
      </c>
      <c r="E2655" s="5" t="s">
        <v>312</v>
      </c>
      <c r="F2655" s="5" t="s">
        <v>313</v>
      </c>
      <c r="G2655" s="5" t="s">
        <v>392</v>
      </c>
      <c r="H2655" s="5" t="s">
        <v>397</v>
      </c>
      <c r="I2655" s="5" t="s">
        <v>63</v>
      </c>
      <c r="J2655" s="5">
        <v>18.124565135920999</v>
      </c>
      <c r="K2655" s="5">
        <v>-96.001111227622999</v>
      </c>
      <c r="L2655" s="5" t="str">
        <f>HYPERLINK("https://maps.google.com/?q=18.1245651359206,-96.001111227623497", "🔗 Ver Mapa")</f>
        <v>🔗 Ver Mapa</v>
      </c>
    </row>
    <row r="2656" spans="1:12" ht="43.5" x14ac:dyDescent="0.35">
      <c r="A2656" s="6" t="s">
        <v>8</v>
      </c>
      <c r="B2656" s="6" t="s">
        <v>16</v>
      </c>
      <c r="C2656" s="6" t="s">
        <v>396</v>
      </c>
      <c r="D2656" s="6" t="s">
        <v>35</v>
      </c>
      <c r="E2656" s="6" t="s">
        <v>312</v>
      </c>
      <c r="F2656" s="6" t="s">
        <v>313</v>
      </c>
      <c r="G2656" s="6" t="s">
        <v>392</v>
      </c>
      <c r="H2656" s="6" t="s">
        <v>397</v>
      </c>
      <c r="I2656" s="6" t="s">
        <v>63</v>
      </c>
      <c r="J2656" s="6">
        <v>18.124740194443</v>
      </c>
      <c r="K2656" s="6">
        <v>-96.001563607104998</v>
      </c>
      <c r="L2656" s="6" t="str">
        <f>HYPERLINK("https://maps.google.com/?q=18.1247401944429,-96.001563607105496", "🔗 Ver Mapa")</f>
        <v>🔗 Ver Mapa</v>
      </c>
    </row>
    <row r="2657" spans="1:12" ht="43.5" x14ac:dyDescent="0.35">
      <c r="A2657" s="5" t="s">
        <v>8</v>
      </c>
      <c r="B2657" s="5" t="s">
        <v>16</v>
      </c>
      <c r="C2657" s="5" t="s">
        <v>396</v>
      </c>
      <c r="D2657" s="5" t="s">
        <v>35</v>
      </c>
      <c r="E2657" s="5" t="s">
        <v>312</v>
      </c>
      <c r="F2657" s="5" t="s">
        <v>313</v>
      </c>
      <c r="G2657" s="5" t="s">
        <v>392</v>
      </c>
      <c r="H2657" s="5" t="s">
        <v>397</v>
      </c>
      <c r="I2657" s="5" t="s">
        <v>63</v>
      </c>
      <c r="J2657" s="5">
        <v>18.124797059386001</v>
      </c>
      <c r="K2657" s="5">
        <v>-95.998547137233999</v>
      </c>
      <c r="L2657" s="5" t="str">
        <f>HYPERLINK("https://maps.google.com/?q=18.1247970593861,-95.998547137234397", "🔗 Ver Mapa")</f>
        <v>🔗 Ver Mapa</v>
      </c>
    </row>
    <row r="2658" spans="1:12" ht="43.5" x14ac:dyDescent="0.35">
      <c r="A2658" s="6" t="s">
        <v>8</v>
      </c>
      <c r="B2658" s="6" t="s">
        <v>16</v>
      </c>
      <c r="C2658" s="6" t="s">
        <v>396</v>
      </c>
      <c r="D2658" s="6" t="s">
        <v>35</v>
      </c>
      <c r="E2658" s="6" t="s">
        <v>312</v>
      </c>
      <c r="F2658" s="6" t="s">
        <v>313</v>
      </c>
      <c r="G2658" s="6" t="s">
        <v>392</v>
      </c>
      <c r="H2658" s="6" t="s">
        <v>397</v>
      </c>
      <c r="I2658" s="6" t="s">
        <v>63</v>
      </c>
      <c r="J2658" s="6">
        <v>18.125310584767998</v>
      </c>
      <c r="K2658" s="6">
        <v>-95.998285508660999</v>
      </c>
      <c r="L2658" s="6" t="str">
        <f>HYPERLINK("https://maps.google.com/?q=18.1253105847676,-95.9982855086607", "🔗 Ver Mapa")</f>
        <v>🔗 Ver Mapa</v>
      </c>
    </row>
    <row r="2659" spans="1:12" ht="43.5" x14ac:dyDescent="0.35">
      <c r="A2659" s="5" t="s">
        <v>8</v>
      </c>
      <c r="B2659" s="5" t="s">
        <v>16</v>
      </c>
      <c r="C2659" s="5" t="s">
        <v>398</v>
      </c>
      <c r="D2659" s="5" t="s">
        <v>35</v>
      </c>
      <c r="E2659" s="5" t="s">
        <v>312</v>
      </c>
      <c r="F2659" s="5" t="s">
        <v>313</v>
      </c>
      <c r="G2659" s="5" t="s">
        <v>392</v>
      </c>
      <c r="H2659" s="5" t="s">
        <v>399</v>
      </c>
      <c r="I2659" s="5" t="s">
        <v>63</v>
      </c>
      <c r="J2659" s="5">
        <v>18.027629287071001</v>
      </c>
      <c r="K2659" s="5">
        <v>-96.152436327426003</v>
      </c>
      <c r="L2659" s="5" t="str">
        <f>HYPERLINK("https://maps.google.com/?q=18.0276292870711,-96.152436327425605", "🔗 Ver Mapa")</f>
        <v>🔗 Ver Mapa</v>
      </c>
    </row>
    <row r="2660" spans="1:12" ht="43.5" x14ac:dyDescent="0.35">
      <c r="A2660" s="6" t="s">
        <v>8</v>
      </c>
      <c r="B2660" s="6" t="s">
        <v>16</v>
      </c>
      <c r="C2660" s="6" t="s">
        <v>398</v>
      </c>
      <c r="D2660" s="6" t="s">
        <v>35</v>
      </c>
      <c r="E2660" s="6" t="s">
        <v>312</v>
      </c>
      <c r="F2660" s="6" t="s">
        <v>313</v>
      </c>
      <c r="G2660" s="6" t="s">
        <v>392</v>
      </c>
      <c r="H2660" s="6" t="s">
        <v>399</v>
      </c>
      <c r="I2660" s="6" t="s">
        <v>63</v>
      </c>
      <c r="J2660" s="6">
        <v>18.027947312814</v>
      </c>
      <c r="K2660" s="6">
        <v>-96.152818921461005</v>
      </c>
      <c r="L2660" s="6" t="str">
        <f>HYPERLINK("https://maps.google.com/?q=18.0279473128138,-96.152818921461204", "🔗 Ver Mapa")</f>
        <v>🔗 Ver Mapa</v>
      </c>
    </row>
    <row r="2661" spans="1:12" ht="43.5" x14ac:dyDescent="0.35">
      <c r="A2661" s="5" t="s">
        <v>8</v>
      </c>
      <c r="B2661" s="5" t="s">
        <v>16</v>
      </c>
      <c r="C2661" s="5" t="s">
        <v>398</v>
      </c>
      <c r="D2661" s="5" t="s">
        <v>35</v>
      </c>
      <c r="E2661" s="5" t="s">
        <v>312</v>
      </c>
      <c r="F2661" s="5" t="s">
        <v>313</v>
      </c>
      <c r="G2661" s="5" t="s">
        <v>392</v>
      </c>
      <c r="H2661" s="5" t="s">
        <v>399</v>
      </c>
      <c r="I2661" s="5" t="s">
        <v>63</v>
      </c>
      <c r="J2661" s="5">
        <v>18.029054762760001</v>
      </c>
      <c r="K2661" s="5">
        <v>-96.156624868717998</v>
      </c>
      <c r="L2661" s="5" t="str">
        <f>HYPERLINK("https://maps.google.com/?q=18.0290547627605,-96.1566248687175", "🔗 Ver Mapa")</f>
        <v>🔗 Ver Mapa</v>
      </c>
    </row>
    <row r="2662" spans="1:12" ht="43.5" x14ac:dyDescent="0.35">
      <c r="A2662" s="6" t="s">
        <v>8</v>
      </c>
      <c r="B2662" s="6" t="s">
        <v>16</v>
      </c>
      <c r="C2662" s="6" t="s">
        <v>398</v>
      </c>
      <c r="D2662" s="6" t="s">
        <v>35</v>
      </c>
      <c r="E2662" s="6" t="s">
        <v>312</v>
      </c>
      <c r="F2662" s="6" t="s">
        <v>313</v>
      </c>
      <c r="G2662" s="6" t="s">
        <v>392</v>
      </c>
      <c r="H2662" s="6" t="s">
        <v>399</v>
      </c>
      <c r="I2662" s="6" t="s">
        <v>63</v>
      </c>
      <c r="J2662" s="6">
        <v>18.029260418871001</v>
      </c>
      <c r="K2662" s="6">
        <v>-96.156816739050996</v>
      </c>
      <c r="L2662" s="6" t="str">
        <f>HYPERLINK("https://maps.google.com/?q=18.0292604188711,-96.156816739051195", "🔗 Ver Mapa")</f>
        <v>🔗 Ver Mapa</v>
      </c>
    </row>
    <row r="2663" spans="1:12" ht="43.5" x14ac:dyDescent="0.35">
      <c r="A2663" s="5" t="s">
        <v>8</v>
      </c>
      <c r="B2663" s="5" t="s">
        <v>16</v>
      </c>
      <c r="C2663" s="5" t="s">
        <v>398</v>
      </c>
      <c r="D2663" s="5" t="s">
        <v>35</v>
      </c>
      <c r="E2663" s="5" t="s">
        <v>312</v>
      </c>
      <c r="F2663" s="5" t="s">
        <v>313</v>
      </c>
      <c r="G2663" s="5" t="s">
        <v>392</v>
      </c>
      <c r="H2663" s="5" t="s">
        <v>399</v>
      </c>
      <c r="I2663" s="5" t="s">
        <v>63</v>
      </c>
      <c r="J2663" s="5">
        <v>18.029308948695</v>
      </c>
      <c r="K2663" s="5">
        <v>-96.156422441257007</v>
      </c>
      <c r="L2663" s="5" t="str">
        <f>HYPERLINK("https://maps.google.com/?q=18.0293089486947,-96.156422441257305", "🔗 Ver Mapa")</f>
        <v>🔗 Ver Mapa</v>
      </c>
    </row>
    <row r="2664" spans="1:12" ht="43.5" x14ac:dyDescent="0.35">
      <c r="A2664" s="6" t="s">
        <v>8</v>
      </c>
      <c r="B2664" s="6" t="s">
        <v>16</v>
      </c>
      <c r="C2664" s="6" t="s">
        <v>398</v>
      </c>
      <c r="D2664" s="6" t="s">
        <v>35</v>
      </c>
      <c r="E2664" s="6" t="s">
        <v>312</v>
      </c>
      <c r="F2664" s="6" t="s">
        <v>313</v>
      </c>
      <c r="G2664" s="6" t="s">
        <v>392</v>
      </c>
      <c r="H2664" s="6" t="s">
        <v>399</v>
      </c>
      <c r="I2664" s="6" t="s">
        <v>63</v>
      </c>
      <c r="J2664" s="6">
        <v>18.029325773018002</v>
      </c>
      <c r="K2664" s="6">
        <v>-96.156304555784999</v>
      </c>
      <c r="L2664" s="6" t="str">
        <f>HYPERLINK("https://maps.google.com/?q=18.0293257730181,-96.156304555784502", "🔗 Ver Mapa")</f>
        <v>🔗 Ver Mapa</v>
      </c>
    </row>
    <row r="2665" spans="1:12" ht="43.5" x14ac:dyDescent="0.35">
      <c r="A2665" s="5" t="s">
        <v>8</v>
      </c>
      <c r="B2665" s="5" t="s">
        <v>16</v>
      </c>
      <c r="C2665" s="5" t="s">
        <v>398</v>
      </c>
      <c r="D2665" s="5" t="s">
        <v>35</v>
      </c>
      <c r="E2665" s="5" t="s">
        <v>312</v>
      </c>
      <c r="F2665" s="5" t="s">
        <v>313</v>
      </c>
      <c r="G2665" s="5" t="s">
        <v>392</v>
      </c>
      <c r="H2665" s="5" t="s">
        <v>399</v>
      </c>
      <c r="I2665" s="5" t="s">
        <v>63</v>
      </c>
      <c r="J2665" s="5">
        <v>18.029354166939999</v>
      </c>
      <c r="K2665" s="5">
        <v>-96.156686107968994</v>
      </c>
      <c r="L2665" s="5" t="str">
        <f>HYPERLINK("https://maps.google.com/?q=18.0293541669402,-96.156686107969307", "🔗 Ver Mapa")</f>
        <v>🔗 Ver Mapa</v>
      </c>
    </row>
    <row r="2666" spans="1:12" ht="43.5" x14ac:dyDescent="0.35">
      <c r="A2666" s="6" t="s">
        <v>8</v>
      </c>
      <c r="B2666" s="6" t="s">
        <v>16</v>
      </c>
      <c r="C2666" s="6" t="s">
        <v>398</v>
      </c>
      <c r="D2666" s="6" t="s">
        <v>35</v>
      </c>
      <c r="E2666" s="6" t="s">
        <v>312</v>
      </c>
      <c r="F2666" s="6" t="s">
        <v>313</v>
      </c>
      <c r="G2666" s="6" t="s">
        <v>392</v>
      </c>
      <c r="H2666" s="6" t="s">
        <v>399</v>
      </c>
      <c r="I2666" s="6" t="s">
        <v>63</v>
      </c>
      <c r="J2666" s="6">
        <v>18.029486525566</v>
      </c>
      <c r="K2666" s="6">
        <v>-96.156352061343</v>
      </c>
      <c r="L2666" s="6" t="str">
        <f>HYPERLINK("https://maps.google.com/?q=18.0294865255662,-96.156352061342602", "🔗 Ver Mapa")</f>
        <v>🔗 Ver Mapa</v>
      </c>
    </row>
    <row r="2667" spans="1:12" ht="43.5" x14ac:dyDescent="0.35">
      <c r="A2667" s="5" t="s">
        <v>8</v>
      </c>
      <c r="B2667" s="5" t="s">
        <v>16</v>
      </c>
      <c r="C2667" s="5" t="s">
        <v>398</v>
      </c>
      <c r="D2667" s="5" t="s">
        <v>35</v>
      </c>
      <c r="E2667" s="5" t="s">
        <v>312</v>
      </c>
      <c r="F2667" s="5" t="s">
        <v>313</v>
      </c>
      <c r="G2667" s="5" t="s">
        <v>392</v>
      </c>
      <c r="H2667" s="5" t="s">
        <v>399</v>
      </c>
      <c r="I2667" s="5" t="s">
        <v>63</v>
      </c>
      <c r="J2667" s="5">
        <v>18.050101586691</v>
      </c>
      <c r="K2667" s="5">
        <v>-96.134635927006002</v>
      </c>
      <c r="L2667" s="5" t="str">
        <f>HYPERLINK("https://maps.google.com/?q=18.0501015866906,-96.1346359270064", "🔗 Ver Mapa")</f>
        <v>🔗 Ver Mapa</v>
      </c>
    </row>
    <row r="2668" spans="1:12" ht="43.5" x14ac:dyDescent="0.35">
      <c r="A2668" s="6" t="s">
        <v>8</v>
      </c>
      <c r="B2668" s="6" t="s">
        <v>16</v>
      </c>
      <c r="C2668" s="6" t="s">
        <v>398</v>
      </c>
      <c r="D2668" s="6" t="s">
        <v>35</v>
      </c>
      <c r="E2668" s="6" t="s">
        <v>312</v>
      </c>
      <c r="F2668" s="6" t="s">
        <v>313</v>
      </c>
      <c r="G2668" s="6" t="s">
        <v>392</v>
      </c>
      <c r="H2668" s="6" t="s">
        <v>399</v>
      </c>
      <c r="I2668" s="6" t="s">
        <v>63</v>
      </c>
      <c r="J2668" s="6">
        <v>18.051138465367998</v>
      </c>
      <c r="K2668" s="6">
        <v>-96.140715940782997</v>
      </c>
      <c r="L2668" s="6" t="str">
        <f>HYPERLINK("https://maps.google.com/?q=18.0511384653675,-96.140715940782798", "🔗 Ver Mapa")</f>
        <v>🔗 Ver Mapa</v>
      </c>
    </row>
    <row r="2669" spans="1:12" ht="43.5" x14ac:dyDescent="0.35">
      <c r="A2669" s="5" t="s">
        <v>8</v>
      </c>
      <c r="B2669" s="5" t="s">
        <v>16</v>
      </c>
      <c r="C2669" s="5" t="s">
        <v>398</v>
      </c>
      <c r="D2669" s="5" t="s">
        <v>35</v>
      </c>
      <c r="E2669" s="5" t="s">
        <v>312</v>
      </c>
      <c r="F2669" s="5" t="s">
        <v>313</v>
      </c>
      <c r="G2669" s="5" t="s">
        <v>392</v>
      </c>
      <c r="H2669" s="5" t="s">
        <v>399</v>
      </c>
      <c r="I2669" s="5" t="s">
        <v>63</v>
      </c>
      <c r="J2669" s="5">
        <v>18.051548</v>
      </c>
      <c r="K2669" s="5">
        <v>-96.141840999999999</v>
      </c>
      <c r="L2669" s="5" t="str">
        <f>HYPERLINK("https://maps.google.com/?q=18.051548,-96.141840999999999", "🔗 Ver Mapa")</f>
        <v>🔗 Ver Mapa</v>
      </c>
    </row>
    <row r="2670" spans="1:12" ht="43.5" x14ac:dyDescent="0.35">
      <c r="A2670" s="6" t="s">
        <v>8</v>
      </c>
      <c r="B2670" s="6" t="s">
        <v>16</v>
      </c>
      <c r="C2670" s="6" t="s">
        <v>398</v>
      </c>
      <c r="D2670" s="6" t="s">
        <v>35</v>
      </c>
      <c r="E2670" s="6" t="s">
        <v>312</v>
      </c>
      <c r="F2670" s="6" t="s">
        <v>313</v>
      </c>
      <c r="G2670" s="6" t="s">
        <v>392</v>
      </c>
      <c r="H2670" s="6" t="s">
        <v>399</v>
      </c>
      <c r="I2670" s="6" t="s">
        <v>63</v>
      </c>
      <c r="J2670" s="6">
        <v>18.051615520839999</v>
      </c>
      <c r="K2670" s="6">
        <v>-96.148726934413006</v>
      </c>
      <c r="L2670" s="6" t="str">
        <f>HYPERLINK("https://maps.google.com/?q=18.05161552084,-96.148726934413205", "🔗 Ver Mapa")</f>
        <v>🔗 Ver Mapa</v>
      </c>
    </row>
    <row r="2671" spans="1:12" ht="43.5" x14ac:dyDescent="0.35">
      <c r="A2671" s="5" t="s">
        <v>8</v>
      </c>
      <c r="B2671" s="5" t="s">
        <v>16</v>
      </c>
      <c r="C2671" s="5" t="s">
        <v>398</v>
      </c>
      <c r="D2671" s="5" t="s">
        <v>35</v>
      </c>
      <c r="E2671" s="5" t="s">
        <v>312</v>
      </c>
      <c r="F2671" s="5" t="s">
        <v>313</v>
      </c>
      <c r="G2671" s="5" t="s">
        <v>392</v>
      </c>
      <c r="H2671" s="5" t="s">
        <v>399</v>
      </c>
      <c r="I2671" s="5" t="s">
        <v>63</v>
      </c>
      <c r="J2671" s="5">
        <v>18.051661831808001</v>
      </c>
      <c r="K2671" s="5">
        <v>-96.148296991400997</v>
      </c>
      <c r="L2671" s="5" t="str">
        <f>HYPERLINK("https://maps.google.com/?q=18.0516618318083,-96.148296991401196", "🔗 Ver Mapa")</f>
        <v>🔗 Ver Mapa</v>
      </c>
    </row>
    <row r="2672" spans="1:12" ht="43.5" x14ac:dyDescent="0.35">
      <c r="A2672" s="6" t="s">
        <v>8</v>
      </c>
      <c r="B2672" s="6" t="s">
        <v>16</v>
      </c>
      <c r="C2672" s="6" t="s">
        <v>398</v>
      </c>
      <c r="D2672" s="6" t="s">
        <v>35</v>
      </c>
      <c r="E2672" s="6" t="s">
        <v>312</v>
      </c>
      <c r="F2672" s="6" t="s">
        <v>313</v>
      </c>
      <c r="G2672" s="6" t="s">
        <v>392</v>
      </c>
      <c r="H2672" s="6" t="s">
        <v>399</v>
      </c>
      <c r="I2672" s="6" t="s">
        <v>63</v>
      </c>
      <c r="J2672" s="6">
        <v>18.051772</v>
      </c>
      <c r="K2672" s="6">
        <v>-96.137619000000001</v>
      </c>
      <c r="L2672" s="6" t="str">
        <f>HYPERLINK("https://maps.google.com/?q=18.051772,-96.137619000000001", "🔗 Ver Mapa")</f>
        <v>🔗 Ver Mapa</v>
      </c>
    </row>
    <row r="2673" spans="1:12" ht="43.5" x14ac:dyDescent="0.35">
      <c r="A2673" s="5" t="s">
        <v>8</v>
      </c>
      <c r="B2673" s="5" t="s">
        <v>16</v>
      </c>
      <c r="C2673" s="5" t="s">
        <v>398</v>
      </c>
      <c r="D2673" s="5" t="s">
        <v>35</v>
      </c>
      <c r="E2673" s="5" t="s">
        <v>312</v>
      </c>
      <c r="F2673" s="5" t="s">
        <v>313</v>
      </c>
      <c r="G2673" s="5" t="s">
        <v>392</v>
      </c>
      <c r="H2673" s="5" t="s">
        <v>399</v>
      </c>
      <c r="I2673" s="5" t="s">
        <v>63</v>
      </c>
      <c r="J2673" s="5">
        <v>18.051982601411002</v>
      </c>
      <c r="K2673" s="5">
        <v>-96.139650918403007</v>
      </c>
      <c r="L2673" s="5" t="str">
        <f>HYPERLINK("https://maps.google.com/?q=18.0519826014108,-96.139650918402694", "🔗 Ver Mapa")</f>
        <v>🔗 Ver Mapa</v>
      </c>
    </row>
    <row r="2674" spans="1:12" ht="43.5" x14ac:dyDescent="0.35">
      <c r="A2674" s="6" t="s">
        <v>8</v>
      </c>
      <c r="B2674" s="6" t="s">
        <v>16</v>
      </c>
      <c r="C2674" s="6" t="s">
        <v>398</v>
      </c>
      <c r="D2674" s="6" t="s">
        <v>35</v>
      </c>
      <c r="E2674" s="6" t="s">
        <v>312</v>
      </c>
      <c r="F2674" s="6" t="s">
        <v>313</v>
      </c>
      <c r="G2674" s="6" t="s">
        <v>392</v>
      </c>
      <c r="H2674" s="6" t="s">
        <v>399</v>
      </c>
      <c r="I2674" s="6" t="s">
        <v>63</v>
      </c>
      <c r="J2674" s="6">
        <v>18.051987</v>
      </c>
      <c r="K2674" s="6">
        <v>-96.139571000000004</v>
      </c>
      <c r="L2674" s="6" t="str">
        <f>HYPERLINK("https://maps.google.com/?q=18.051987,-96.139571000000004", "🔗 Ver Mapa")</f>
        <v>🔗 Ver Mapa</v>
      </c>
    </row>
    <row r="2675" spans="1:12" ht="43.5" x14ac:dyDescent="0.35">
      <c r="A2675" s="5" t="s">
        <v>8</v>
      </c>
      <c r="B2675" s="5" t="s">
        <v>16</v>
      </c>
      <c r="C2675" s="5" t="s">
        <v>398</v>
      </c>
      <c r="D2675" s="5" t="s">
        <v>35</v>
      </c>
      <c r="E2675" s="5" t="s">
        <v>312</v>
      </c>
      <c r="F2675" s="5" t="s">
        <v>313</v>
      </c>
      <c r="G2675" s="5" t="s">
        <v>392</v>
      </c>
      <c r="H2675" s="5" t="s">
        <v>399</v>
      </c>
      <c r="I2675" s="5" t="s">
        <v>63</v>
      </c>
      <c r="J2675" s="5">
        <v>18.052081601422</v>
      </c>
      <c r="K2675" s="5">
        <v>-96.140529804894001</v>
      </c>
      <c r="L2675" s="5" t="str">
        <f>HYPERLINK("https://maps.google.com/?q=18.0520816014223,-96.140529804893603", "🔗 Ver Mapa")</f>
        <v>🔗 Ver Mapa</v>
      </c>
    </row>
    <row r="2676" spans="1:12" ht="43.5" x14ac:dyDescent="0.35">
      <c r="A2676" s="6" t="s">
        <v>8</v>
      </c>
      <c r="B2676" s="6" t="s">
        <v>16</v>
      </c>
      <c r="C2676" s="6" t="s">
        <v>398</v>
      </c>
      <c r="D2676" s="6" t="s">
        <v>35</v>
      </c>
      <c r="E2676" s="6" t="s">
        <v>312</v>
      </c>
      <c r="F2676" s="6" t="s">
        <v>313</v>
      </c>
      <c r="G2676" s="6" t="s">
        <v>392</v>
      </c>
      <c r="H2676" s="6" t="s">
        <v>399</v>
      </c>
      <c r="I2676" s="6" t="s">
        <v>63</v>
      </c>
      <c r="J2676" s="6">
        <v>18.05219894803</v>
      </c>
      <c r="K2676" s="6">
        <v>-96.140088414708003</v>
      </c>
      <c r="L2676" s="6" t="str">
        <f>HYPERLINK("https://maps.google.com/?q=18.0521989480296,-96.140088414707904", "🔗 Ver Mapa")</f>
        <v>🔗 Ver Mapa</v>
      </c>
    </row>
    <row r="2677" spans="1:12" ht="43.5" x14ac:dyDescent="0.35">
      <c r="A2677" s="5" t="s">
        <v>8</v>
      </c>
      <c r="B2677" s="5" t="s">
        <v>16</v>
      </c>
      <c r="C2677" s="5" t="s">
        <v>398</v>
      </c>
      <c r="D2677" s="5" t="s">
        <v>35</v>
      </c>
      <c r="E2677" s="5" t="s">
        <v>312</v>
      </c>
      <c r="F2677" s="5" t="s">
        <v>313</v>
      </c>
      <c r="G2677" s="5" t="s">
        <v>392</v>
      </c>
      <c r="H2677" s="5" t="s">
        <v>399</v>
      </c>
      <c r="I2677" s="5" t="s">
        <v>63</v>
      </c>
      <c r="J2677" s="5">
        <v>18.052208356342</v>
      </c>
      <c r="K2677" s="5">
        <v>-96.141832746546996</v>
      </c>
      <c r="L2677" s="5" t="str">
        <f>HYPERLINK("https://maps.google.com/?q=18.052208356342,-96.141832746546797", "🔗 Ver Mapa")</f>
        <v>🔗 Ver Mapa</v>
      </c>
    </row>
    <row r="2678" spans="1:12" ht="43.5" x14ac:dyDescent="0.35">
      <c r="A2678" s="6" t="s">
        <v>8</v>
      </c>
      <c r="B2678" s="6" t="s">
        <v>16</v>
      </c>
      <c r="C2678" s="6" t="s">
        <v>398</v>
      </c>
      <c r="D2678" s="6" t="s">
        <v>35</v>
      </c>
      <c r="E2678" s="6" t="s">
        <v>312</v>
      </c>
      <c r="F2678" s="6" t="s">
        <v>313</v>
      </c>
      <c r="G2678" s="6" t="s">
        <v>392</v>
      </c>
      <c r="H2678" s="6" t="s">
        <v>399</v>
      </c>
      <c r="I2678" s="6" t="s">
        <v>63</v>
      </c>
      <c r="J2678" s="6">
        <v>18.052237285015</v>
      </c>
      <c r="K2678" s="6">
        <v>-96.139813678105995</v>
      </c>
      <c r="L2678" s="6" t="str">
        <f>HYPERLINK("https://maps.google.com/?q=18.0522372850147,-96.139813678105597", "🔗 Ver Mapa")</f>
        <v>🔗 Ver Mapa</v>
      </c>
    </row>
    <row r="2679" spans="1:12" ht="43.5" x14ac:dyDescent="0.35">
      <c r="A2679" s="5" t="s">
        <v>8</v>
      </c>
      <c r="B2679" s="5" t="s">
        <v>16</v>
      </c>
      <c r="C2679" s="5" t="s">
        <v>398</v>
      </c>
      <c r="D2679" s="5" t="s">
        <v>35</v>
      </c>
      <c r="E2679" s="5" t="s">
        <v>312</v>
      </c>
      <c r="F2679" s="5" t="s">
        <v>313</v>
      </c>
      <c r="G2679" s="5" t="s">
        <v>392</v>
      </c>
      <c r="H2679" s="5" t="s">
        <v>399</v>
      </c>
      <c r="I2679" s="5" t="s">
        <v>63</v>
      </c>
      <c r="J2679" s="5">
        <v>18.052331445730999</v>
      </c>
      <c r="K2679" s="5">
        <v>-96.138877046627002</v>
      </c>
      <c r="L2679" s="5" t="str">
        <f>HYPERLINK("https://maps.google.com/?q=18.0523314457306,-96.138877046627101", "🔗 Ver Mapa")</f>
        <v>🔗 Ver Mapa</v>
      </c>
    </row>
    <row r="2680" spans="1:12" ht="43.5" x14ac:dyDescent="0.35">
      <c r="A2680" s="6" t="s">
        <v>8</v>
      </c>
      <c r="B2680" s="6" t="s">
        <v>16</v>
      </c>
      <c r="C2680" s="6" t="s">
        <v>398</v>
      </c>
      <c r="D2680" s="6" t="s">
        <v>35</v>
      </c>
      <c r="E2680" s="6" t="s">
        <v>312</v>
      </c>
      <c r="F2680" s="6" t="s">
        <v>313</v>
      </c>
      <c r="G2680" s="6" t="s">
        <v>392</v>
      </c>
      <c r="H2680" s="6" t="s">
        <v>399</v>
      </c>
      <c r="I2680" s="6" t="s">
        <v>63</v>
      </c>
      <c r="J2680" s="6">
        <v>18.052358251975001</v>
      </c>
      <c r="K2680" s="6">
        <v>-96.140595177910001</v>
      </c>
      <c r="L2680" s="6" t="str">
        <f>HYPERLINK("https://maps.google.com/?q=18.0523582519754,-96.140595177909901", "🔗 Ver Mapa")</f>
        <v>🔗 Ver Mapa</v>
      </c>
    </row>
    <row r="2681" spans="1:12" ht="43.5" x14ac:dyDescent="0.35">
      <c r="A2681" s="5" t="s">
        <v>8</v>
      </c>
      <c r="B2681" s="5" t="s">
        <v>16</v>
      </c>
      <c r="C2681" s="5" t="s">
        <v>398</v>
      </c>
      <c r="D2681" s="5" t="s">
        <v>35</v>
      </c>
      <c r="E2681" s="5" t="s">
        <v>312</v>
      </c>
      <c r="F2681" s="5" t="s">
        <v>313</v>
      </c>
      <c r="G2681" s="5" t="s">
        <v>392</v>
      </c>
      <c r="H2681" s="5" t="s">
        <v>399</v>
      </c>
      <c r="I2681" s="5" t="s">
        <v>63</v>
      </c>
      <c r="J2681" s="5">
        <v>18.052381083493</v>
      </c>
      <c r="K2681" s="5">
        <v>-96.141727573821001</v>
      </c>
      <c r="L2681" s="5" t="str">
        <f>HYPERLINK("https://maps.google.com/?q=18.0523810834927,-96.141727573820702", "🔗 Ver Mapa")</f>
        <v>🔗 Ver Mapa</v>
      </c>
    </row>
    <row r="2682" spans="1:12" ht="43.5" x14ac:dyDescent="0.35">
      <c r="A2682" s="6" t="s">
        <v>8</v>
      </c>
      <c r="B2682" s="6" t="s">
        <v>16</v>
      </c>
      <c r="C2682" s="6" t="s">
        <v>398</v>
      </c>
      <c r="D2682" s="6" t="s">
        <v>35</v>
      </c>
      <c r="E2682" s="6" t="s">
        <v>312</v>
      </c>
      <c r="F2682" s="6" t="s">
        <v>313</v>
      </c>
      <c r="G2682" s="6" t="s">
        <v>392</v>
      </c>
      <c r="H2682" s="6" t="s">
        <v>399</v>
      </c>
      <c r="I2682" s="6" t="s">
        <v>63</v>
      </c>
      <c r="J2682" s="6">
        <v>18.052406000000001</v>
      </c>
      <c r="K2682" s="6">
        <v>-96.141446000000002</v>
      </c>
      <c r="L2682" s="6" t="str">
        <f>HYPERLINK("https://maps.google.com/?q=18.052406,-96.141446000000002", "🔗 Ver Mapa")</f>
        <v>🔗 Ver Mapa</v>
      </c>
    </row>
    <row r="2683" spans="1:12" ht="43.5" x14ac:dyDescent="0.35">
      <c r="A2683" s="5" t="s">
        <v>8</v>
      </c>
      <c r="B2683" s="5" t="s">
        <v>16</v>
      </c>
      <c r="C2683" s="5" t="s">
        <v>398</v>
      </c>
      <c r="D2683" s="5" t="s">
        <v>35</v>
      </c>
      <c r="E2683" s="5" t="s">
        <v>312</v>
      </c>
      <c r="F2683" s="5" t="s">
        <v>313</v>
      </c>
      <c r="G2683" s="5" t="s">
        <v>392</v>
      </c>
      <c r="H2683" s="5" t="s">
        <v>399</v>
      </c>
      <c r="I2683" s="5" t="s">
        <v>63</v>
      </c>
      <c r="J2683" s="5">
        <v>18.052472999999999</v>
      </c>
      <c r="K2683" s="5">
        <v>-96.139623999999998</v>
      </c>
      <c r="L2683" s="5" t="str">
        <f>HYPERLINK("https://maps.google.com/?q=18.052473,-96.139623999999998", "🔗 Ver Mapa")</f>
        <v>🔗 Ver Mapa</v>
      </c>
    </row>
    <row r="2684" spans="1:12" ht="43.5" x14ac:dyDescent="0.35">
      <c r="A2684" s="6" t="s">
        <v>8</v>
      </c>
      <c r="B2684" s="6" t="s">
        <v>16</v>
      </c>
      <c r="C2684" s="6" t="s">
        <v>398</v>
      </c>
      <c r="D2684" s="6" t="s">
        <v>35</v>
      </c>
      <c r="E2684" s="6" t="s">
        <v>312</v>
      </c>
      <c r="F2684" s="6" t="s">
        <v>313</v>
      </c>
      <c r="G2684" s="6" t="s">
        <v>392</v>
      </c>
      <c r="H2684" s="6" t="s">
        <v>399</v>
      </c>
      <c r="I2684" s="6" t="s">
        <v>63</v>
      </c>
      <c r="J2684" s="6">
        <v>18.052554492060999</v>
      </c>
      <c r="K2684" s="6">
        <v>-96.141546834932001</v>
      </c>
      <c r="L2684" s="6" t="str">
        <f>HYPERLINK("https://maps.google.com/?q=18.0525544920606,-96.141546834931802", "🔗 Ver Mapa")</f>
        <v>🔗 Ver Mapa</v>
      </c>
    </row>
    <row r="2685" spans="1:12" ht="43.5" x14ac:dyDescent="0.35">
      <c r="A2685" s="5" t="s">
        <v>8</v>
      </c>
      <c r="B2685" s="5" t="s">
        <v>16</v>
      </c>
      <c r="C2685" s="5" t="s">
        <v>398</v>
      </c>
      <c r="D2685" s="5" t="s">
        <v>35</v>
      </c>
      <c r="E2685" s="5" t="s">
        <v>312</v>
      </c>
      <c r="F2685" s="5" t="s">
        <v>313</v>
      </c>
      <c r="G2685" s="5" t="s">
        <v>392</v>
      </c>
      <c r="H2685" s="5" t="s">
        <v>399</v>
      </c>
      <c r="I2685" s="5" t="s">
        <v>63</v>
      </c>
      <c r="J2685" s="5">
        <v>18.052555258228999</v>
      </c>
      <c r="K2685" s="5">
        <v>-96.138464264906005</v>
      </c>
      <c r="L2685" s="5" t="str">
        <f>HYPERLINK("https://maps.google.com/?q=18.0525552582292,-96.138464264906304", "🔗 Ver Mapa")</f>
        <v>🔗 Ver Mapa</v>
      </c>
    </row>
    <row r="2686" spans="1:12" ht="43.5" x14ac:dyDescent="0.35">
      <c r="A2686" s="6" t="s">
        <v>8</v>
      </c>
      <c r="B2686" s="6" t="s">
        <v>16</v>
      </c>
      <c r="C2686" s="6" t="s">
        <v>398</v>
      </c>
      <c r="D2686" s="6" t="s">
        <v>35</v>
      </c>
      <c r="E2686" s="6" t="s">
        <v>312</v>
      </c>
      <c r="F2686" s="6" t="s">
        <v>313</v>
      </c>
      <c r="G2686" s="6" t="s">
        <v>392</v>
      </c>
      <c r="H2686" s="6" t="s">
        <v>399</v>
      </c>
      <c r="I2686" s="6" t="s">
        <v>63</v>
      </c>
      <c r="J2686" s="6">
        <v>18.052561000000001</v>
      </c>
      <c r="K2686" s="6">
        <v>-96.139223999999999</v>
      </c>
      <c r="L2686" s="6" t="str">
        <f>HYPERLINK("https://maps.google.com/?q=18.052561,-96.139223999999999", "🔗 Ver Mapa")</f>
        <v>🔗 Ver Mapa</v>
      </c>
    </row>
    <row r="2687" spans="1:12" ht="43.5" x14ac:dyDescent="0.35">
      <c r="A2687" s="5" t="s">
        <v>8</v>
      </c>
      <c r="B2687" s="5" t="s">
        <v>16</v>
      </c>
      <c r="C2687" s="5" t="s">
        <v>398</v>
      </c>
      <c r="D2687" s="5" t="s">
        <v>35</v>
      </c>
      <c r="E2687" s="5" t="s">
        <v>312</v>
      </c>
      <c r="F2687" s="5" t="s">
        <v>313</v>
      </c>
      <c r="G2687" s="5" t="s">
        <v>392</v>
      </c>
      <c r="H2687" s="5" t="s">
        <v>399</v>
      </c>
      <c r="I2687" s="5" t="s">
        <v>63</v>
      </c>
      <c r="J2687" s="5">
        <v>18.052765000000001</v>
      </c>
      <c r="K2687" s="5">
        <v>-96.141024000000002</v>
      </c>
      <c r="L2687" s="5" t="str">
        <f>HYPERLINK("https://maps.google.com/?q=18.052765,-96.141024000000002", "🔗 Ver Mapa")</f>
        <v>🔗 Ver Mapa</v>
      </c>
    </row>
    <row r="2688" spans="1:12" ht="43.5" x14ac:dyDescent="0.35">
      <c r="A2688" s="6" t="s">
        <v>8</v>
      </c>
      <c r="B2688" s="6" t="s">
        <v>16</v>
      </c>
      <c r="C2688" s="6" t="s">
        <v>398</v>
      </c>
      <c r="D2688" s="6" t="s">
        <v>35</v>
      </c>
      <c r="E2688" s="6" t="s">
        <v>312</v>
      </c>
      <c r="F2688" s="6" t="s">
        <v>313</v>
      </c>
      <c r="G2688" s="6" t="s">
        <v>392</v>
      </c>
      <c r="H2688" s="6" t="s">
        <v>399</v>
      </c>
      <c r="I2688" s="6" t="s">
        <v>63</v>
      </c>
      <c r="J2688" s="6">
        <v>18.052821931783001</v>
      </c>
      <c r="K2688" s="6">
        <v>-96.147886495701002</v>
      </c>
      <c r="L2688" s="6" t="str">
        <f>HYPERLINK("https://maps.google.com/?q=18.0528219317826,-96.147886495700902", "🔗 Ver Mapa")</f>
        <v>🔗 Ver Mapa</v>
      </c>
    </row>
    <row r="2689" spans="1:12" ht="43.5" x14ac:dyDescent="0.35">
      <c r="A2689" s="5" t="s">
        <v>8</v>
      </c>
      <c r="B2689" s="5" t="s">
        <v>16</v>
      </c>
      <c r="C2689" s="5" t="s">
        <v>398</v>
      </c>
      <c r="D2689" s="5" t="s">
        <v>35</v>
      </c>
      <c r="E2689" s="5" t="s">
        <v>312</v>
      </c>
      <c r="F2689" s="5" t="s">
        <v>313</v>
      </c>
      <c r="G2689" s="5" t="s">
        <v>392</v>
      </c>
      <c r="H2689" s="5" t="s">
        <v>399</v>
      </c>
      <c r="I2689" s="5" t="s">
        <v>63</v>
      </c>
      <c r="J2689" s="5">
        <v>18.052866000000002</v>
      </c>
      <c r="K2689" s="5">
        <v>-96.139771999999994</v>
      </c>
      <c r="L2689" s="5" t="str">
        <f>HYPERLINK("https://maps.google.com/?q=18.052866,-96.139771999999994", "🔗 Ver Mapa")</f>
        <v>🔗 Ver Mapa</v>
      </c>
    </row>
    <row r="2690" spans="1:12" ht="43.5" x14ac:dyDescent="0.35">
      <c r="A2690" s="6" t="s">
        <v>8</v>
      </c>
      <c r="B2690" s="6" t="s">
        <v>16</v>
      </c>
      <c r="C2690" s="6" t="s">
        <v>398</v>
      </c>
      <c r="D2690" s="6" t="s">
        <v>35</v>
      </c>
      <c r="E2690" s="6" t="s">
        <v>312</v>
      </c>
      <c r="F2690" s="6" t="s">
        <v>313</v>
      </c>
      <c r="G2690" s="6" t="s">
        <v>392</v>
      </c>
      <c r="H2690" s="6" t="s">
        <v>399</v>
      </c>
      <c r="I2690" s="6" t="s">
        <v>63</v>
      </c>
      <c r="J2690" s="6">
        <v>18.053012637104999</v>
      </c>
      <c r="K2690" s="6">
        <v>-96.146555317790998</v>
      </c>
      <c r="L2690" s="6" t="str">
        <f>HYPERLINK("https://maps.google.com/?q=18.0530126371051,-96.146555317790998", "🔗 Ver Mapa")</f>
        <v>🔗 Ver Mapa</v>
      </c>
    </row>
    <row r="2691" spans="1:12" ht="43.5" x14ac:dyDescent="0.35">
      <c r="A2691" s="5" t="s">
        <v>8</v>
      </c>
      <c r="B2691" s="5" t="s">
        <v>16</v>
      </c>
      <c r="C2691" s="5" t="s">
        <v>398</v>
      </c>
      <c r="D2691" s="5" t="s">
        <v>35</v>
      </c>
      <c r="E2691" s="5" t="s">
        <v>312</v>
      </c>
      <c r="F2691" s="5" t="s">
        <v>313</v>
      </c>
      <c r="G2691" s="5" t="s">
        <v>392</v>
      </c>
      <c r="H2691" s="5" t="s">
        <v>399</v>
      </c>
      <c r="I2691" s="5" t="s">
        <v>63</v>
      </c>
      <c r="J2691" s="5">
        <v>18.053659</v>
      </c>
      <c r="K2691" s="5">
        <v>-96.149546000000001</v>
      </c>
      <c r="L2691" s="5" t="str">
        <f>HYPERLINK("https://maps.google.com/?q=18.053659,-96.149546000000001", "🔗 Ver Mapa")</f>
        <v>🔗 Ver Mapa</v>
      </c>
    </row>
    <row r="2692" spans="1:12" ht="43.5" x14ac:dyDescent="0.35">
      <c r="A2692" s="6" t="s">
        <v>8</v>
      </c>
      <c r="B2692" s="6" t="s">
        <v>16</v>
      </c>
      <c r="C2692" s="6" t="s">
        <v>398</v>
      </c>
      <c r="D2692" s="6" t="s">
        <v>35</v>
      </c>
      <c r="E2692" s="6" t="s">
        <v>312</v>
      </c>
      <c r="F2692" s="6" t="s">
        <v>313</v>
      </c>
      <c r="G2692" s="6" t="s">
        <v>392</v>
      </c>
      <c r="H2692" s="6" t="s">
        <v>399</v>
      </c>
      <c r="I2692" s="6" t="s">
        <v>63</v>
      </c>
      <c r="J2692" s="6">
        <v>18.054039</v>
      </c>
      <c r="K2692" s="6">
        <v>-96.149663000000004</v>
      </c>
      <c r="L2692" s="6" t="str">
        <f>HYPERLINK("https://maps.google.com/?q=18.054039,-96.149663000000004", "🔗 Ver Mapa")</f>
        <v>🔗 Ver Mapa</v>
      </c>
    </row>
    <row r="2693" spans="1:12" ht="43.5" x14ac:dyDescent="0.35">
      <c r="A2693" s="5" t="s">
        <v>8</v>
      </c>
      <c r="B2693" s="5" t="s">
        <v>16</v>
      </c>
      <c r="C2693" s="5" t="s">
        <v>398</v>
      </c>
      <c r="D2693" s="5" t="s">
        <v>35</v>
      </c>
      <c r="E2693" s="5" t="s">
        <v>312</v>
      </c>
      <c r="F2693" s="5" t="s">
        <v>313</v>
      </c>
      <c r="G2693" s="5" t="s">
        <v>392</v>
      </c>
      <c r="H2693" s="5" t="s">
        <v>399</v>
      </c>
      <c r="I2693" s="5" t="s">
        <v>63</v>
      </c>
      <c r="J2693" s="5">
        <v>18.054290000000002</v>
      </c>
      <c r="K2693" s="5">
        <v>-96.146996000000001</v>
      </c>
      <c r="L2693" s="5" t="str">
        <f>HYPERLINK("https://maps.google.com/?q=18.05429,-96.146996000000001", "🔗 Ver Mapa")</f>
        <v>🔗 Ver Mapa</v>
      </c>
    </row>
    <row r="2694" spans="1:12" ht="43.5" x14ac:dyDescent="0.35">
      <c r="A2694" s="6" t="s">
        <v>8</v>
      </c>
      <c r="B2694" s="6" t="s">
        <v>16</v>
      </c>
      <c r="C2694" s="6" t="s">
        <v>398</v>
      </c>
      <c r="D2694" s="6" t="s">
        <v>35</v>
      </c>
      <c r="E2694" s="6" t="s">
        <v>312</v>
      </c>
      <c r="F2694" s="6" t="s">
        <v>313</v>
      </c>
      <c r="G2694" s="6" t="s">
        <v>392</v>
      </c>
      <c r="H2694" s="6" t="s">
        <v>399</v>
      </c>
      <c r="I2694" s="6" t="s">
        <v>63</v>
      </c>
      <c r="J2694" s="6">
        <v>18.054415028636999</v>
      </c>
      <c r="K2694" s="6">
        <v>-96.149071673611004</v>
      </c>
      <c r="L2694" s="6" t="str">
        <f>HYPERLINK("https://maps.google.com/?q=18.0544150286374,-96.149071673610806", "🔗 Ver Mapa")</f>
        <v>🔗 Ver Mapa</v>
      </c>
    </row>
    <row r="2695" spans="1:12" ht="43.5" x14ac:dyDescent="0.35">
      <c r="A2695" s="5" t="s">
        <v>8</v>
      </c>
      <c r="B2695" s="5" t="s">
        <v>16</v>
      </c>
      <c r="C2695" s="5" t="s">
        <v>398</v>
      </c>
      <c r="D2695" s="5" t="s">
        <v>35</v>
      </c>
      <c r="E2695" s="5" t="s">
        <v>312</v>
      </c>
      <c r="F2695" s="5" t="s">
        <v>313</v>
      </c>
      <c r="G2695" s="5" t="s">
        <v>392</v>
      </c>
      <c r="H2695" s="5" t="s">
        <v>399</v>
      </c>
      <c r="I2695" s="5" t="s">
        <v>63</v>
      </c>
      <c r="J2695" s="5">
        <v>18.054547381052</v>
      </c>
      <c r="K2695" s="5">
        <v>-96.148412762470997</v>
      </c>
      <c r="L2695" s="5" t="str">
        <f>HYPERLINK("https://maps.google.com/?q=18.0545473810516,-96.148412762471196", "🔗 Ver Mapa")</f>
        <v>🔗 Ver Mapa</v>
      </c>
    </row>
    <row r="2696" spans="1:12" ht="43.5" x14ac:dyDescent="0.35">
      <c r="A2696" s="6" t="s">
        <v>8</v>
      </c>
      <c r="B2696" s="6" t="s">
        <v>16</v>
      </c>
      <c r="C2696" s="6" t="s">
        <v>398</v>
      </c>
      <c r="D2696" s="6" t="s">
        <v>35</v>
      </c>
      <c r="E2696" s="6" t="s">
        <v>312</v>
      </c>
      <c r="F2696" s="6" t="s">
        <v>313</v>
      </c>
      <c r="G2696" s="6" t="s">
        <v>392</v>
      </c>
      <c r="H2696" s="6" t="s">
        <v>399</v>
      </c>
      <c r="I2696" s="6" t="s">
        <v>63</v>
      </c>
      <c r="J2696" s="6">
        <v>18.054586951289998</v>
      </c>
      <c r="K2696" s="6">
        <v>-96.148876743551</v>
      </c>
      <c r="L2696" s="6" t="str">
        <f>HYPERLINK("https://maps.google.com/?q=18.0545869512899,-96.148876743551298", "🔗 Ver Mapa")</f>
        <v>🔗 Ver Mapa</v>
      </c>
    </row>
    <row r="2697" spans="1:12" ht="43.5" x14ac:dyDescent="0.35">
      <c r="A2697" s="5" t="s">
        <v>8</v>
      </c>
      <c r="B2697" s="5" t="s">
        <v>16</v>
      </c>
      <c r="C2697" s="5" t="s">
        <v>398</v>
      </c>
      <c r="D2697" s="5" t="s">
        <v>35</v>
      </c>
      <c r="E2697" s="5" t="s">
        <v>312</v>
      </c>
      <c r="F2697" s="5" t="s">
        <v>313</v>
      </c>
      <c r="G2697" s="5" t="s">
        <v>392</v>
      </c>
      <c r="H2697" s="5" t="s">
        <v>399</v>
      </c>
      <c r="I2697" s="5" t="s">
        <v>63</v>
      </c>
      <c r="J2697" s="5">
        <v>18.055008254880001</v>
      </c>
      <c r="K2697" s="5">
        <v>-96.148737892030994</v>
      </c>
      <c r="L2697" s="5" t="str">
        <f>HYPERLINK("https://maps.google.com/?q=18.0550082548803,-96.148737892030695", "🔗 Ver Mapa")</f>
        <v>🔗 Ver Mapa</v>
      </c>
    </row>
    <row r="2698" spans="1:12" ht="43.5" x14ac:dyDescent="0.35">
      <c r="A2698" s="6" t="s">
        <v>8</v>
      </c>
      <c r="B2698" s="6" t="s">
        <v>16</v>
      </c>
      <c r="C2698" s="6" t="s">
        <v>398</v>
      </c>
      <c r="D2698" s="6" t="s">
        <v>35</v>
      </c>
      <c r="E2698" s="6" t="s">
        <v>312</v>
      </c>
      <c r="F2698" s="6" t="s">
        <v>313</v>
      </c>
      <c r="G2698" s="6" t="s">
        <v>392</v>
      </c>
      <c r="H2698" s="6" t="s">
        <v>399</v>
      </c>
      <c r="I2698" s="6" t="s">
        <v>63</v>
      </c>
      <c r="J2698" s="6">
        <v>18.055142247445001</v>
      </c>
      <c r="K2698" s="6">
        <v>-96.145254647084002</v>
      </c>
      <c r="L2698" s="6" t="str">
        <f>HYPERLINK("https://maps.google.com/?q=18.0551422474445,-96.1452546470843", "🔗 Ver Mapa")</f>
        <v>🔗 Ver Mapa</v>
      </c>
    </row>
    <row r="2699" spans="1:12" ht="43.5" x14ac:dyDescent="0.35">
      <c r="A2699" s="5" t="s">
        <v>8</v>
      </c>
      <c r="B2699" s="5" t="s">
        <v>16</v>
      </c>
      <c r="C2699" s="5" t="s">
        <v>398</v>
      </c>
      <c r="D2699" s="5" t="s">
        <v>35</v>
      </c>
      <c r="E2699" s="5" t="s">
        <v>312</v>
      </c>
      <c r="F2699" s="5" t="s">
        <v>313</v>
      </c>
      <c r="G2699" s="5" t="s">
        <v>392</v>
      </c>
      <c r="H2699" s="5" t="s">
        <v>399</v>
      </c>
      <c r="I2699" s="5" t="s">
        <v>63</v>
      </c>
      <c r="J2699" s="5">
        <v>18.055643905122999</v>
      </c>
      <c r="K2699" s="5">
        <v>-96.147815574239999</v>
      </c>
      <c r="L2699" s="5" t="str">
        <f>HYPERLINK("https://maps.google.com/?q=18.0556439051226,-96.1478155742398", "🔗 Ver Mapa")</f>
        <v>🔗 Ver Mapa</v>
      </c>
    </row>
    <row r="2700" spans="1:12" ht="43.5" x14ac:dyDescent="0.35">
      <c r="A2700" s="6" t="s">
        <v>8</v>
      </c>
      <c r="B2700" s="6" t="s">
        <v>16</v>
      </c>
      <c r="C2700" s="6" t="s">
        <v>398</v>
      </c>
      <c r="D2700" s="6" t="s">
        <v>35</v>
      </c>
      <c r="E2700" s="6" t="s">
        <v>312</v>
      </c>
      <c r="F2700" s="6" t="s">
        <v>313</v>
      </c>
      <c r="G2700" s="6" t="s">
        <v>392</v>
      </c>
      <c r="H2700" s="6" t="s">
        <v>399</v>
      </c>
      <c r="I2700" s="6" t="s">
        <v>63</v>
      </c>
      <c r="J2700" s="6">
        <v>18.057009222348999</v>
      </c>
      <c r="K2700" s="6">
        <v>-96.144706519883997</v>
      </c>
      <c r="L2700" s="6" t="str">
        <f>HYPERLINK("https://maps.google.com/?q=18.0570092223487,-96.144706519884096", "🔗 Ver Mapa")</f>
        <v>🔗 Ver Mapa</v>
      </c>
    </row>
    <row r="2701" spans="1:12" ht="43.5" x14ac:dyDescent="0.35">
      <c r="A2701" s="5" t="s">
        <v>8</v>
      </c>
      <c r="B2701" s="5" t="s">
        <v>16</v>
      </c>
      <c r="C2701" s="5" t="s">
        <v>398</v>
      </c>
      <c r="D2701" s="5" t="s">
        <v>35</v>
      </c>
      <c r="E2701" s="5" t="s">
        <v>312</v>
      </c>
      <c r="F2701" s="5" t="s">
        <v>313</v>
      </c>
      <c r="G2701" s="5" t="s">
        <v>392</v>
      </c>
      <c r="H2701" s="5" t="s">
        <v>399</v>
      </c>
      <c r="I2701" s="5" t="s">
        <v>63</v>
      </c>
      <c r="J2701" s="5">
        <v>18.057195727423</v>
      </c>
      <c r="K2701" s="5">
        <v>-96.150997968124003</v>
      </c>
      <c r="L2701" s="5" t="str">
        <f>HYPERLINK("https://maps.google.com/?q=18.0571957274228,-96.150997968124003", "🔗 Ver Mapa")</f>
        <v>🔗 Ver Mapa</v>
      </c>
    </row>
    <row r="2702" spans="1:12" ht="43.5" x14ac:dyDescent="0.35">
      <c r="A2702" s="6" t="s">
        <v>8</v>
      </c>
      <c r="B2702" s="6" t="s">
        <v>16</v>
      </c>
      <c r="C2702" s="6" t="s">
        <v>398</v>
      </c>
      <c r="D2702" s="6" t="s">
        <v>35</v>
      </c>
      <c r="E2702" s="6" t="s">
        <v>312</v>
      </c>
      <c r="F2702" s="6" t="s">
        <v>313</v>
      </c>
      <c r="G2702" s="6" t="s">
        <v>392</v>
      </c>
      <c r="H2702" s="6" t="s">
        <v>399</v>
      </c>
      <c r="I2702" s="6" t="s">
        <v>63</v>
      </c>
      <c r="J2702" s="6">
        <v>18.057903502070999</v>
      </c>
      <c r="K2702" s="6">
        <v>-96.142904236888995</v>
      </c>
      <c r="L2702" s="6" t="str">
        <f>HYPERLINK("https://maps.google.com/?q=18.0579035020706,-96.142904236889393", "🔗 Ver Mapa")</f>
        <v>🔗 Ver Mapa</v>
      </c>
    </row>
    <row r="2703" spans="1:12" ht="43.5" x14ac:dyDescent="0.35">
      <c r="A2703" s="5" t="s">
        <v>8</v>
      </c>
      <c r="B2703" s="5" t="s">
        <v>16</v>
      </c>
      <c r="C2703" s="5" t="s">
        <v>398</v>
      </c>
      <c r="D2703" s="5" t="s">
        <v>35</v>
      </c>
      <c r="E2703" s="5" t="s">
        <v>312</v>
      </c>
      <c r="F2703" s="5" t="s">
        <v>313</v>
      </c>
      <c r="G2703" s="5" t="s">
        <v>392</v>
      </c>
      <c r="H2703" s="5" t="s">
        <v>399</v>
      </c>
      <c r="I2703" s="5" t="s">
        <v>63</v>
      </c>
      <c r="J2703" s="5">
        <v>18.058749600588001</v>
      </c>
      <c r="K2703" s="5">
        <v>-96.146161883432995</v>
      </c>
      <c r="L2703" s="5" t="str">
        <f>HYPERLINK("https://maps.google.com/?q=18.0587496005879,-96.146161883432896", "🔗 Ver Mapa")</f>
        <v>🔗 Ver Mapa</v>
      </c>
    </row>
    <row r="2704" spans="1:12" ht="43.5" x14ac:dyDescent="0.35">
      <c r="A2704" s="6" t="s">
        <v>8</v>
      </c>
      <c r="B2704" s="6" t="s">
        <v>16</v>
      </c>
      <c r="C2704" s="6" t="s">
        <v>398</v>
      </c>
      <c r="D2704" s="6" t="s">
        <v>35</v>
      </c>
      <c r="E2704" s="6" t="s">
        <v>312</v>
      </c>
      <c r="F2704" s="6" t="s">
        <v>313</v>
      </c>
      <c r="G2704" s="6" t="s">
        <v>392</v>
      </c>
      <c r="H2704" s="6" t="s">
        <v>399</v>
      </c>
      <c r="I2704" s="6" t="s">
        <v>63</v>
      </c>
      <c r="J2704" s="6">
        <v>18.060147239875</v>
      </c>
      <c r="K2704" s="6">
        <v>-96.145923166252999</v>
      </c>
      <c r="L2704" s="6" t="str">
        <f>HYPERLINK("https://maps.google.com/?q=18.060147239875,-96.145923166253098", "🔗 Ver Mapa")</f>
        <v>🔗 Ver Mapa</v>
      </c>
    </row>
    <row r="2705" spans="1:12" ht="43.5" x14ac:dyDescent="0.35">
      <c r="A2705" s="5" t="s">
        <v>8</v>
      </c>
      <c r="B2705" s="5" t="s">
        <v>16</v>
      </c>
      <c r="C2705" s="5" t="s">
        <v>398</v>
      </c>
      <c r="D2705" s="5" t="s">
        <v>35</v>
      </c>
      <c r="E2705" s="5" t="s">
        <v>312</v>
      </c>
      <c r="F2705" s="5" t="s">
        <v>313</v>
      </c>
      <c r="G2705" s="5" t="s">
        <v>392</v>
      </c>
      <c r="H2705" s="5" t="s">
        <v>399</v>
      </c>
      <c r="I2705" s="5" t="s">
        <v>63</v>
      </c>
      <c r="J2705" s="5">
        <v>18.060220000000001</v>
      </c>
      <c r="K2705" s="5">
        <v>-96.149632999999994</v>
      </c>
      <c r="L2705" s="5" t="str">
        <f>HYPERLINK("https://maps.google.com/?q=18.06022,-96.149632999999994", "🔗 Ver Mapa")</f>
        <v>🔗 Ver Mapa</v>
      </c>
    </row>
    <row r="2706" spans="1:12" ht="43.5" x14ac:dyDescent="0.35">
      <c r="A2706" s="6" t="s">
        <v>8</v>
      </c>
      <c r="B2706" s="6" t="s">
        <v>16</v>
      </c>
      <c r="C2706" s="6" t="s">
        <v>398</v>
      </c>
      <c r="D2706" s="6" t="s">
        <v>35</v>
      </c>
      <c r="E2706" s="6" t="s">
        <v>312</v>
      </c>
      <c r="F2706" s="6" t="s">
        <v>313</v>
      </c>
      <c r="G2706" s="6" t="s">
        <v>392</v>
      </c>
      <c r="H2706" s="6" t="s">
        <v>399</v>
      </c>
      <c r="I2706" s="6" t="s">
        <v>63</v>
      </c>
      <c r="J2706" s="6">
        <v>18.06033589007</v>
      </c>
      <c r="K2706" s="6">
        <v>-96.146714201223006</v>
      </c>
      <c r="L2706" s="6" t="str">
        <f>HYPERLINK("https://maps.google.com/?q=18.06033589007,-96.146714201223404", "🔗 Ver Mapa")</f>
        <v>🔗 Ver Mapa</v>
      </c>
    </row>
    <row r="2707" spans="1:12" ht="43.5" x14ac:dyDescent="0.35">
      <c r="A2707" s="5" t="s">
        <v>8</v>
      </c>
      <c r="B2707" s="5" t="s">
        <v>16</v>
      </c>
      <c r="C2707" s="5" t="s">
        <v>398</v>
      </c>
      <c r="D2707" s="5" t="s">
        <v>35</v>
      </c>
      <c r="E2707" s="5" t="s">
        <v>312</v>
      </c>
      <c r="F2707" s="5" t="s">
        <v>313</v>
      </c>
      <c r="G2707" s="5" t="s">
        <v>392</v>
      </c>
      <c r="H2707" s="5" t="s">
        <v>399</v>
      </c>
      <c r="I2707" s="5" t="s">
        <v>63</v>
      </c>
      <c r="J2707" s="5">
        <v>18.060437677197001</v>
      </c>
      <c r="K2707" s="5">
        <v>-96.144441093254002</v>
      </c>
      <c r="L2707" s="5" t="str">
        <f>HYPERLINK("https://maps.google.com/?q=18.0604376771967,-96.144441093254201", "🔗 Ver Mapa")</f>
        <v>🔗 Ver Mapa</v>
      </c>
    </row>
    <row r="2708" spans="1:12" ht="43.5" x14ac:dyDescent="0.35">
      <c r="A2708" s="6" t="s">
        <v>8</v>
      </c>
      <c r="B2708" s="6" t="s">
        <v>16</v>
      </c>
      <c r="C2708" s="6" t="s">
        <v>398</v>
      </c>
      <c r="D2708" s="6" t="s">
        <v>35</v>
      </c>
      <c r="E2708" s="6" t="s">
        <v>312</v>
      </c>
      <c r="F2708" s="6" t="s">
        <v>313</v>
      </c>
      <c r="G2708" s="6" t="s">
        <v>392</v>
      </c>
      <c r="H2708" s="6" t="s">
        <v>399</v>
      </c>
      <c r="I2708" s="6" t="s">
        <v>63</v>
      </c>
      <c r="J2708" s="6">
        <v>18.06072915248</v>
      </c>
      <c r="K2708" s="6">
        <v>-96.144891553985005</v>
      </c>
      <c r="L2708" s="6" t="str">
        <f>HYPERLINK("https://maps.google.com/?q=18.0607291524797,-96.144891553984706", "🔗 Ver Mapa")</f>
        <v>🔗 Ver Mapa</v>
      </c>
    </row>
    <row r="2709" spans="1:12" ht="43.5" x14ac:dyDescent="0.35">
      <c r="A2709" s="5" t="s">
        <v>8</v>
      </c>
      <c r="B2709" s="5" t="s">
        <v>16</v>
      </c>
      <c r="C2709" s="5" t="s">
        <v>398</v>
      </c>
      <c r="D2709" s="5" t="s">
        <v>35</v>
      </c>
      <c r="E2709" s="5" t="s">
        <v>312</v>
      </c>
      <c r="F2709" s="5" t="s">
        <v>313</v>
      </c>
      <c r="G2709" s="5" t="s">
        <v>392</v>
      </c>
      <c r="H2709" s="5" t="s">
        <v>399</v>
      </c>
      <c r="I2709" s="5" t="s">
        <v>63</v>
      </c>
      <c r="J2709" s="5">
        <v>18.060897131884001</v>
      </c>
      <c r="K2709" s="5">
        <v>-96.148684879719994</v>
      </c>
      <c r="L2709" s="5" t="str">
        <f>HYPERLINK("https://maps.google.com/?q=18.0608971318843,-96.148684879719895", "🔗 Ver Mapa")</f>
        <v>🔗 Ver Mapa</v>
      </c>
    </row>
    <row r="2710" spans="1:12" ht="43.5" x14ac:dyDescent="0.35">
      <c r="A2710" s="6" t="s">
        <v>8</v>
      </c>
      <c r="B2710" s="6" t="s">
        <v>16</v>
      </c>
      <c r="C2710" s="6" t="s">
        <v>398</v>
      </c>
      <c r="D2710" s="6" t="s">
        <v>35</v>
      </c>
      <c r="E2710" s="6" t="s">
        <v>312</v>
      </c>
      <c r="F2710" s="6" t="s">
        <v>313</v>
      </c>
      <c r="G2710" s="6" t="s">
        <v>392</v>
      </c>
      <c r="H2710" s="6" t="s">
        <v>399</v>
      </c>
      <c r="I2710" s="6" t="s">
        <v>63</v>
      </c>
      <c r="J2710" s="6">
        <v>18.060908350738</v>
      </c>
      <c r="K2710" s="6">
        <v>-96.144510985284995</v>
      </c>
      <c r="L2710" s="6" t="str">
        <f>HYPERLINK("https://maps.google.com/?q=18.0609083507381,-96.144510985284896", "🔗 Ver Mapa")</f>
        <v>🔗 Ver Mapa</v>
      </c>
    </row>
    <row r="2711" spans="1:12" ht="43.5" x14ac:dyDescent="0.35">
      <c r="A2711" s="5" t="s">
        <v>8</v>
      </c>
      <c r="B2711" s="5" t="s">
        <v>16</v>
      </c>
      <c r="C2711" s="5" t="s">
        <v>398</v>
      </c>
      <c r="D2711" s="5" t="s">
        <v>35</v>
      </c>
      <c r="E2711" s="5" t="s">
        <v>312</v>
      </c>
      <c r="F2711" s="5" t="s">
        <v>313</v>
      </c>
      <c r="G2711" s="5" t="s">
        <v>392</v>
      </c>
      <c r="H2711" s="5" t="s">
        <v>399</v>
      </c>
      <c r="I2711" s="5" t="s">
        <v>63</v>
      </c>
      <c r="J2711" s="5">
        <v>18.060911204050999</v>
      </c>
      <c r="K2711" s="5">
        <v>-96.145340029430002</v>
      </c>
      <c r="L2711" s="5" t="str">
        <f>HYPERLINK("https://maps.google.com/?q=18.0609112040509,-96.1453400294305", "🔗 Ver Mapa")</f>
        <v>🔗 Ver Mapa</v>
      </c>
    </row>
    <row r="2712" spans="1:12" ht="43.5" x14ac:dyDescent="0.35">
      <c r="A2712" s="6" t="s">
        <v>8</v>
      </c>
      <c r="B2712" s="6" t="s">
        <v>16</v>
      </c>
      <c r="C2712" s="6" t="s">
        <v>398</v>
      </c>
      <c r="D2712" s="6" t="s">
        <v>35</v>
      </c>
      <c r="E2712" s="6" t="s">
        <v>312</v>
      </c>
      <c r="F2712" s="6" t="s">
        <v>313</v>
      </c>
      <c r="G2712" s="6" t="s">
        <v>392</v>
      </c>
      <c r="H2712" s="6" t="s">
        <v>399</v>
      </c>
      <c r="I2712" s="6" t="s">
        <v>63</v>
      </c>
      <c r="J2712" s="6">
        <v>18.061103504110001</v>
      </c>
      <c r="K2712" s="6">
        <v>-96.146662065417999</v>
      </c>
      <c r="L2712" s="6" t="str">
        <f>HYPERLINK("https://maps.google.com/?q=18.0611035041098,-96.146662065418496", "🔗 Ver Mapa")</f>
        <v>🔗 Ver Mapa</v>
      </c>
    </row>
    <row r="2713" spans="1:12" ht="43.5" x14ac:dyDescent="0.35">
      <c r="A2713" s="5" t="s">
        <v>8</v>
      </c>
      <c r="B2713" s="5" t="s">
        <v>16</v>
      </c>
      <c r="C2713" s="5" t="s">
        <v>398</v>
      </c>
      <c r="D2713" s="5" t="s">
        <v>35</v>
      </c>
      <c r="E2713" s="5" t="s">
        <v>312</v>
      </c>
      <c r="F2713" s="5" t="s">
        <v>313</v>
      </c>
      <c r="G2713" s="5" t="s">
        <v>392</v>
      </c>
      <c r="H2713" s="5" t="s">
        <v>399</v>
      </c>
      <c r="I2713" s="5" t="s">
        <v>63</v>
      </c>
      <c r="J2713" s="5">
        <v>18.061202219881999</v>
      </c>
      <c r="K2713" s="5">
        <v>-96.144515333715006</v>
      </c>
      <c r="L2713" s="5" t="str">
        <f>HYPERLINK("https://maps.google.com/?q=18.0612022198823,-96.144515333714907", "🔗 Ver Mapa")</f>
        <v>🔗 Ver Mapa</v>
      </c>
    </row>
    <row r="2714" spans="1:12" ht="43.5" x14ac:dyDescent="0.35">
      <c r="A2714" s="6" t="s">
        <v>8</v>
      </c>
      <c r="B2714" s="6" t="s">
        <v>16</v>
      </c>
      <c r="C2714" s="6" t="s">
        <v>398</v>
      </c>
      <c r="D2714" s="6" t="s">
        <v>35</v>
      </c>
      <c r="E2714" s="6" t="s">
        <v>312</v>
      </c>
      <c r="F2714" s="6" t="s">
        <v>313</v>
      </c>
      <c r="G2714" s="6" t="s">
        <v>392</v>
      </c>
      <c r="H2714" s="6" t="s">
        <v>399</v>
      </c>
      <c r="I2714" s="6" t="s">
        <v>63</v>
      </c>
      <c r="J2714" s="6">
        <v>18.061520402357001</v>
      </c>
      <c r="K2714" s="6">
        <v>-96.140069271163995</v>
      </c>
      <c r="L2714" s="6" t="str">
        <f>HYPERLINK("https://maps.google.com/?q=18.0615204023573,-96.140069271164407", "🔗 Ver Mapa")</f>
        <v>🔗 Ver Mapa</v>
      </c>
    </row>
    <row r="2715" spans="1:12" ht="43.5" x14ac:dyDescent="0.35">
      <c r="A2715" s="5" t="s">
        <v>8</v>
      </c>
      <c r="B2715" s="5" t="s">
        <v>16</v>
      </c>
      <c r="C2715" s="5" t="s">
        <v>398</v>
      </c>
      <c r="D2715" s="5" t="s">
        <v>35</v>
      </c>
      <c r="E2715" s="5" t="s">
        <v>312</v>
      </c>
      <c r="F2715" s="5" t="s">
        <v>313</v>
      </c>
      <c r="G2715" s="5" t="s">
        <v>392</v>
      </c>
      <c r="H2715" s="5" t="s">
        <v>399</v>
      </c>
      <c r="I2715" s="5" t="s">
        <v>63</v>
      </c>
      <c r="J2715" s="5">
        <v>18.061630078499999</v>
      </c>
      <c r="K2715" s="5">
        <v>-96.148137847886005</v>
      </c>
      <c r="L2715" s="5" t="str">
        <f>HYPERLINK("https://maps.google.com/?q=18.0616300784999,-96.148137847885906", "🔗 Ver Mapa")</f>
        <v>🔗 Ver Mapa</v>
      </c>
    </row>
    <row r="2716" spans="1:12" ht="43.5" x14ac:dyDescent="0.35">
      <c r="A2716" s="6" t="s">
        <v>8</v>
      </c>
      <c r="B2716" s="6" t="s">
        <v>16</v>
      </c>
      <c r="C2716" s="6" t="s">
        <v>398</v>
      </c>
      <c r="D2716" s="6" t="s">
        <v>35</v>
      </c>
      <c r="E2716" s="6" t="s">
        <v>312</v>
      </c>
      <c r="F2716" s="6" t="s">
        <v>313</v>
      </c>
      <c r="G2716" s="6" t="s">
        <v>392</v>
      </c>
      <c r="H2716" s="6" t="s">
        <v>399</v>
      </c>
      <c r="I2716" s="6" t="s">
        <v>63</v>
      </c>
      <c r="J2716" s="6">
        <v>18.061755665252999</v>
      </c>
      <c r="K2716" s="6">
        <v>-96.144811622812</v>
      </c>
      <c r="L2716" s="6" t="str">
        <f>HYPERLINK("https://maps.google.com/?q=18.061755665253,-96.144811622812497", "🔗 Ver Mapa")</f>
        <v>🔗 Ver Mapa</v>
      </c>
    </row>
    <row r="2717" spans="1:12" ht="43.5" x14ac:dyDescent="0.35">
      <c r="A2717" s="5" t="s">
        <v>8</v>
      </c>
      <c r="B2717" s="5" t="s">
        <v>16</v>
      </c>
      <c r="C2717" s="5" t="s">
        <v>398</v>
      </c>
      <c r="D2717" s="5" t="s">
        <v>35</v>
      </c>
      <c r="E2717" s="5" t="s">
        <v>312</v>
      </c>
      <c r="F2717" s="5" t="s">
        <v>313</v>
      </c>
      <c r="G2717" s="5" t="s">
        <v>392</v>
      </c>
      <c r="H2717" s="5" t="s">
        <v>399</v>
      </c>
      <c r="I2717" s="5" t="s">
        <v>63</v>
      </c>
      <c r="J2717" s="5">
        <v>18.061791566591001</v>
      </c>
      <c r="K2717" s="5">
        <v>-96.144601467832999</v>
      </c>
      <c r="L2717" s="5" t="str">
        <f>HYPERLINK("https://maps.google.com/?q=18.061791566591,-96.144601467832601", "🔗 Ver Mapa")</f>
        <v>🔗 Ver Mapa</v>
      </c>
    </row>
    <row r="2718" spans="1:12" ht="43.5" x14ac:dyDescent="0.35">
      <c r="A2718" s="6" t="s">
        <v>8</v>
      </c>
      <c r="B2718" s="6" t="s">
        <v>16</v>
      </c>
      <c r="C2718" s="6" t="s">
        <v>398</v>
      </c>
      <c r="D2718" s="6" t="s">
        <v>35</v>
      </c>
      <c r="E2718" s="6" t="s">
        <v>312</v>
      </c>
      <c r="F2718" s="6" t="s">
        <v>313</v>
      </c>
      <c r="G2718" s="6" t="s">
        <v>392</v>
      </c>
      <c r="H2718" s="6" t="s">
        <v>399</v>
      </c>
      <c r="I2718" s="6" t="s">
        <v>63</v>
      </c>
      <c r="J2718" s="6">
        <v>18.0618674521</v>
      </c>
      <c r="K2718" s="6">
        <v>-96.148000224537</v>
      </c>
      <c r="L2718" s="6" t="str">
        <f>HYPERLINK("https://maps.google.com/?q=18.0618674521003,-96.148000224537", "🔗 Ver Mapa")</f>
        <v>🔗 Ver Mapa</v>
      </c>
    </row>
    <row r="2719" spans="1:12" ht="43.5" x14ac:dyDescent="0.35">
      <c r="A2719" s="5" t="s">
        <v>8</v>
      </c>
      <c r="B2719" s="5" t="s">
        <v>16</v>
      </c>
      <c r="C2719" s="5" t="s">
        <v>398</v>
      </c>
      <c r="D2719" s="5" t="s">
        <v>35</v>
      </c>
      <c r="E2719" s="5" t="s">
        <v>312</v>
      </c>
      <c r="F2719" s="5" t="s">
        <v>313</v>
      </c>
      <c r="G2719" s="5" t="s">
        <v>392</v>
      </c>
      <c r="H2719" s="5" t="s">
        <v>399</v>
      </c>
      <c r="I2719" s="5" t="s">
        <v>63</v>
      </c>
      <c r="J2719" s="5">
        <v>18.062046551576</v>
      </c>
      <c r="K2719" s="5">
        <v>-96.142694565640994</v>
      </c>
      <c r="L2719" s="5" t="str">
        <f>HYPERLINK("https://maps.google.com/?q=18.0620465515757,-96.142694565641406", "🔗 Ver Mapa")</f>
        <v>🔗 Ver Mapa</v>
      </c>
    </row>
    <row r="2720" spans="1:12" ht="43.5" x14ac:dyDescent="0.35">
      <c r="A2720" s="6" t="s">
        <v>8</v>
      </c>
      <c r="B2720" s="6" t="s">
        <v>16</v>
      </c>
      <c r="C2720" s="6" t="s">
        <v>398</v>
      </c>
      <c r="D2720" s="6" t="s">
        <v>35</v>
      </c>
      <c r="E2720" s="6" t="s">
        <v>312</v>
      </c>
      <c r="F2720" s="6" t="s">
        <v>313</v>
      </c>
      <c r="G2720" s="6" t="s">
        <v>392</v>
      </c>
      <c r="H2720" s="6" t="s">
        <v>399</v>
      </c>
      <c r="I2720" s="6" t="s">
        <v>63</v>
      </c>
      <c r="J2720" s="6">
        <v>18.062114000000001</v>
      </c>
      <c r="K2720" s="6">
        <v>-96.139865</v>
      </c>
      <c r="L2720" s="6" t="str">
        <f>HYPERLINK("https://maps.google.com/?q=18.062114,-96.139865", "🔗 Ver Mapa")</f>
        <v>🔗 Ver Mapa</v>
      </c>
    </row>
    <row r="2721" spans="1:12" ht="43.5" x14ac:dyDescent="0.35">
      <c r="A2721" s="5" t="s">
        <v>8</v>
      </c>
      <c r="B2721" s="5" t="s">
        <v>16</v>
      </c>
      <c r="C2721" s="5" t="s">
        <v>398</v>
      </c>
      <c r="D2721" s="5" t="s">
        <v>35</v>
      </c>
      <c r="E2721" s="5" t="s">
        <v>312</v>
      </c>
      <c r="F2721" s="5" t="s">
        <v>313</v>
      </c>
      <c r="G2721" s="5" t="s">
        <v>392</v>
      </c>
      <c r="H2721" s="5" t="s">
        <v>399</v>
      </c>
      <c r="I2721" s="5" t="s">
        <v>63</v>
      </c>
      <c r="J2721" s="5">
        <v>18.062415060635999</v>
      </c>
      <c r="K2721" s="5">
        <v>-96.144501321012996</v>
      </c>
      <c r="L2721" s="5" t="str">
        <f>HYPERLINK("https://maps.google.com/?q=18.0624150606357,-96.144501321012996", "🔗 Ver Mapa")</f>
        <v>🔗 Ver Mapa</v>
      </c>
    </row>
    <row r="2722" spans="1:12" ht="43.5" x14ac:dyDescent="0.35">
      <c r="A2722" s="6" t="s">
        <v>8</v>
      </c>
      <c r="B2722" s="6" t="s">
        <v>16</v>
      </c>
      <c r="C2722" s="6" t="s">
        <v>398</v>
      </c>
      <c r="D2722" s="6" t="s">
        <v>35</v>
      </c>
      <c r="E2722" s="6" t="s">
        <v>312</v>
      </c>
      <c r="F2722" s="6" t="s">
        <v>313</v>
      </c>
      <c r="G2722" s="6" t="s">
        <v>392</v>
      </c>
      <c r="H2722" s="6" t="s">
        <v>399</v>
      </c>
      <c r="I2722" s="6" t="s">
        <v>63</v>
      </c>
      <c r="J2722" s="6">
        <v>18.062461752440999</v>
      </c>
      <c r="K2722" s="6">
        <v>-96.144992224537006</v>
      </c>
      <c r="L2722" s="6" t="str">
        <f>HYPERLINK("https://maps.google.com/?q=18.0624617524411,-96.144992224537006", "🔗 Ver Mapa")</f>
        <v>🔗 Ver Mapa</v>
      </c>
    </row>
    <row r="2723" spans="1:12" ht="43.5" x14ac:dyDescent="0.35">
      <c r="A2723" s="5" t="s">
        <v>8</v>
      </c>
      <c r="B2723" s="5" t="s">
        <v>16</v>
      </c>
      <c r="C2723" s="5" t="s">
        <v>398</v>
      </c>
      <c r="D2723" s="5" t="s">
        <v>35</v>
      </c>
      <c r="E2723" s="5" t="s">
        <v>312</v>
      </c>
      <c r="F2723" s="5" t="s">
        <v>313</v>
      </c>
      <c r="G2723" s="5" t="s">
        <v>392</v>
      </c>
      <c r="H2723" s="5" t="s">
        <v>399</v>
      </c>
      <c r="I2723" s="5" t="s">
        <v>63</v>
      </c>
      <c r="J2723" s="5">
        <v>18.062624</v>
      </c>
      <c r="K2723" s="5">
        <v>-96.140898000000007</v>
      </c>
      <c r="L2723" s="5" t="str">
        <f>HYPERLINK("https://maps.google.com/?q=18.062624,-96.140898000000007", "🔗 Ver Mapa")</f>
        <v>🔗 Ver Mapa</v>
      </c>
    </row>
    <row r="2724" spans="1:12" ht="43.5" x14ac:dyDescent="0.35">
      <c r="A2724" s="6" t="s">
        <v>8</v>
      </c>
      <c r="B2724" s="6" t="s">
        <v>16</v>
      </c>
      <c r="C2724" s="6" t="s">
        <v>398</v>
      </c>
      <c r="D2724" s="6" t="s">
        <v>35</v>
      </c>
      <c r="E2724" s="6" t="s">
        <v>312</v>
      </c>
      <c r="F2724" s="6" t="s">
        <v>313</v>
      </c>
      <c r="G2724" s="6" t="s">
        <v>392</v>
      </c>
      <c r="H2724" s="6" t="s">
        <v>399</v>
      </c>
      <c r="I2724" s="6" t="s">
        <v>63</v>
      </c>
      <c r="J2724" s="6">
        <v>18.062662427688998</v>
      </c>
      <c r="K2724" s="6">
        <v>-96.136084883433</v>
      </c>
      <c r="L2724" s="6" t="str">
        <f>HYPERLINK("https://maps.google.com/?q=18.0626624276885,-96.136084883432503", "🔗 Ver Mapa")</f>
        <v>🔗 Ver Mapa</v>
      </c>
    </row>
    <row r="2725" spans="1:12" ht="43.5" x14ac:dyDescent="0.35">
      <c r="A2725" s="5" t="s">
        <v>8</v>
      </c>
      <c r="B2725" s="5" t="s">
        <v>16</v>
      </c>
      <c r="C2725" s="5" t="s">
        <v>398</v>
      </c>
      <c r="D2725" s="5" t="s">
        <v>35</v>
      </c>
      <c r="E2725" s="5" t="s">
        <v>312</v>
      </c>
      <c r="F2725" s="5" t="s">
        <v>313</v>
      </c>
      <c r="G2725" s="5" t="s">
        <v>392</v>
      </c>
      <c r="H2725" s="5" t="s">
        <v>399</v>
      </c>
      <c r="I2725" s="5" t="s">
        <v>63</v>
      </c>
      <c r="J2725" s="5">
        <v>18.062802302537001</v>
      </c>
      <c r="K2725" s="5">
        <v>-96.143692425759994</v>
      </c>
      <c r="L2725" s="5" t="str">
        <f>HYPERLINK("https://maps.google.com/?q=18.0628023025371,-96.143692425760307", "🔗 Ver Mapa")</f>
        <v>🔗 Ver Mapa</v>
      </c>
    </row>
    <row r="2726" spans="1:12" ht="43.5" x14ac:dyDescent="0.35">
      <c r="A2726" s="6" t="s">
        <v>8</v>
      </c>
      <c r="B2726" s="6" t="s">
        <v>16</v>
      </c>
      <c r="C2726" s="6" t="s">
        <v>398</v>
      </c>
      <c r="D2726" s="6" t="s">
        <v>35</v>
      </c>
      <c r="E2726" s="6" t="s">
        <v>312</v>
      </c>
      <c r="F2726" s="6" t="s">
        <v>313</v>
      </c>
      <c r="G2726" s="6" t="s">
        <v>392</v>
      </c>
      <c r="H2726" s="6" t="s">
        <v>399</v>
      </c>
      <c r="I2726" s="6" t="s">
        <v>63</v>
      </c>
      <c r="J2726" s="6">
        <v>18.062804311855</v>
      </c>
      <c r="K2726" s="6">
        <v>-96.143399510745994</v>
      </c>
      <c r="L2726" s="6" t="str">
        <f>HYPERLINK("https://maps.google.com/?q=18.0628043118548,-96.143399510745695", "🔗 Ver Mapa")</f>
        <v>🔗 Ver Mapa</v>
      </c>
    </row>
    <row r="2727" spans="1:12" ht="43.5" x14ac:dyDescent="0.35">
      <c r="A2727" s="5" t="s">
        <v>8</v>
      </c>
      <c r="B2727" s="5" t="s">
        <v>16</v>
      </c>
      <c r="C2727" s="5" t="s">
        <v>398</v>
      </c>
      <c r="D2727" s="5" t="s">
        <v>35</v>
      </c>
      <c r="E2727" s="5" t="s">
        <v>312</v>
      </c>
      <c r="F2727" s="5" t="s">
        <v>313</v>
      </c>
      <c r="G2727" s="5" t="s">
        <v>392</v>
      </c>
      <c r="H2727" s="5" t="s">
        <v>399</v>
      </c>
      <c r="I2727" s="5" t="s">
        <v>63</v>
      </c>
      <c r="J2727" s="5">
        <v>18.062974105420999</v>
      </c>
      <c r="K2727" s="5">
        <v>-96.136017449074004</v>
      </c>
      <c r="L2727" s="5" t="str">
        <f>HYPERLINK("https://maps.google.com/?q=18.062974105421,-96.136017449073805", "🔗 Ver Mapa")</f>
        <v>🔗 Ver Mapa</v>
      </c>
    </row>
    <row r="2728" spans="1:12" ht="43.5" x14ac:dyDescent="0.35">
      <c r="A2728" s="6" t="s">
        <v>8</v>
      </c>
      <c r="B2728" s="6" t="s">
        <v>16</v>
      </c>
      <c r="C2728" s="6" t="s">
        <v>398</v>
      </c>
      <c r="D2728" s="6" t="s">
        <v>35</v>
      </c>
      <c r="E2728" s="6" t="s">
        <v>312</v>
      </c>
      <c r="F2728" s="6" t="s">
        <v>313</v>
      </c>
      <c r="G2728" s="6" t="s">
        <v>392</v>
      </c>
      <c r="H2728" s="6" t="s">
        <v>399</v>
      </c>
      <c r="I2728" s="6" t="s">
        <v>63</v>
      </c>
      <c r="J2728" s="6">
        <v>18.063310000000001</v>
      </c>
      <c r="K2728" s="6">
        <v>-96.147093999999996</v>
      </c>
      <c r="L2728" s="6" t="str">
        <f>HYPERLINK("https://maps.google.com/?q=18.06331,-96.147093999999996", "🔗 Ver Mapa")</f>
        <v>🔗 Ver Mapa</v>
      </c>
    </row>
    <row r="2729" spans="1:12" ht="43.5" x14ac:dyDescent="0.35">
      <c r="A2729" s="5" t="s">
        <v>8</v>
      </c>
      <c r="B2729" s="5" t="s">
        <v>16</v>
      </c>
      <c r="C2729" s="5" t="s">
        <v>398</v>
      </c>
      <c r="D2729" s="5" t="s">
        <v>35</v>
      </c>
      <c r="E2729" s="5" t="s">
        <v>312</v>
      </c>
      <c r="F2729" s="5" t="s">
        <v>313</v>
      </c>
      <c r="G2729" s="5" t="s">
        <v>392</v>
      </c>
      <c r="H2729" s="5" t="s">
        <v>399</v>
      </c>
      <c r="I2729" s="5" t="s">
        <v>63</v>
      </c>
      <c r="J2729" s="5">
        <v>18.063605115188</v>
      </c>
      <c r="K2729" s="5">
        <v>-96.148309801834998</v>
      </c>
      <c r="L2729" s="5" t="str">
        <f>HYPERLINK("https://maps.google.com/?q=18.0636051151877,-96.148309801834898", "🔗 Ver Mapa")</f>
        <v>🔗 Ver Mapa</v>
      </c>
    </row>
    <row r="2730" spans="1:12" ht="43.5" x14ac:dyDescent="0.35">
      <c r="A2730" s="6" t="s">
        <v>8</v>
      </c>
      <c r="B2730" s="6" t="s">
        <v>16</v>
      </c>
      <c r="C2730" s="6" t="s">
        <v>398</v>
      </c>
      <c r="D2730" s="6" t="s">
        <v>35</v>
      </c>
      <c r="E2730" s="6" t="s">
        <v>312</v>
      </c>
      <c r="F2730" s="6" t="s">
        <v>313</v>
      </c>
      <c r="G2730" s="6" t="s">
        <v>392</v>
      </c>
      <c r="H2730" s="6" t="s">
        <v>399</v>
      </c>
      <c r="I2730" s="6" t="s">
        <v>63</v>
      </c>
      <c r="J2730" s="6">
        <v>18.064018831519</v>
      </c>
      <c r="K2730" s="6">
        <v>-96.144975865158003</v>
      </c>
      <c r="L2730" s="6" t="str">
        <f>HYPERLINK("https://maps.google.com/?q=18.0640188315192,-96.144975865157704", "🔗 Ver Mapa")</f>
        <v>🔗 Ver Mapa</v>
      </c>
    </row>
    <row r="2731" spans="1:12" ht="43.5" x14ac:dyDescent="0.35">
      <c r="A2731" s="5" t="s">
        <v>8</v>
      </c>
      <c r="B2731" s="5" t="s">
        <v>16</v>
      </c>
      <c r="C2731" s="5" t="s">
        <v>398</v>
      </c>
      <c r="D2731" s="5" t="s">
        <v>35</v>
      </c>
      <c r="E2731" s="5" t="s">
        <v>312</v>
      </c>
      <c r="F2731" s="5" t="s">
        <v>313</v>
      </c>
      <c r="G2731" s="5" t="s">
        <v>392</v>
      </c>
      <c r="H2731" s="5" t="s">
        <v>399</v>
      </c>
      <c r="I2731" s="5" t="s">
        <v>63</v>
      </c>
      <c r="J2731" s="5">
        <v>18.073991148244001</v>
      </c>
      <c r="K2731" s="5">
        <v>-96.173088898147995</v>
      </c>
      <c r="L2731" s="5" t="str">
        <f>HYPERLINK("https://maps.google.com/?q=18.0739911482438,-96.173088898147697", "🔗 Ver Mapa")</f>
        <v>🔗 Ver Mapa</v>
      </c>
    </row>
    <row r="2732" spans="1:12" ht="43.5" x14ac:dyDescent="0.35">
      <c r="A2732" s="6" t="s">
        <v>8</v>
      </c>
      <c r="B2732" s="6" t="s">
        <v>16</v>
      </c>
      <c r="C2732" s="6" t="s">
        <v>398</v>
      </c>
      <c r="D2732" s="6" t="s">
        <v>35</v>
      </c>
      <c r="E2732" s="6" t="s">
        <v>312</v>
      </c>
      <c r="F2732" s="6" t="s">
        <v>313</v>
      </c>
      <c r="G2732" s="6" t="s">
        <v>392</v>
      </c>
      <c r="H2732" s="6" t="s">
        <v>399</v>
      </c>
      <c r="I2732" s="6" t="s">
        <v>63</v>
      </c>
      <c r="J2732" s="6">
        <v>18.074105655263999</v>
      </c>
      <c r="K2732" s="6">
        <v>-96.173741597553004</v>
      </c>
      <c r="L2732" s="6" t="str">
        <f>HYPERLINK("https://maps.google.com/?q=18.0741056552639,-96.173741597552706", "🔗 Ver Mapa")</f>
        <v>🔗 Ver Mapa</v>
      </c>
    </row>
    <row r="2733" spans="1:12" ht="43.5" x14ac:dyDescent="0.35">
      <c r="A2733" s="5" t="s">
        <v>8</v>
      </c>
      <c r="B2733" s="5" t="s">
        <v>16</v>
      </c>
      <c r="C2733" s="5" t="s">
        <v>398</v>
      </c>
      <c r="D2733" s="5" t="s">
        <v>35</v>
      </c>
      <c r="E2733" s="5" t="s">
        <v>312</v>
      </c>
      <c r="F2733" s="5" t="s">
        <v>313</v>
      </c>
      <c r="G2733" s="5" t="s">
        <v>392</v>
      </c>
      <c r="H2733" s="5" t="s">
        <v>399</v>
      </c>
      <c r="I2733" s="5" t="s">
        <v>63</v>
      </c>
      <c r="J2733" s="5">
        <v>18.074110675890999</v>
      </c>
      <c r="K2733" s="5">
        <v>-96.173900653833002</v>
      </c>
      <c r="L2733" s="5" t="str">
        <f>HYPERLINK("https://maps.google.com/?q=18.0741106758914,-96.1739006538334", "🔗 Ver Mapa")</f>
        <v>🔗 Ver Mapa</v>
      </c>
    </row>
    <row r="2734" spans="1:12" ht="43.5" x14ac:dyDescent="0.35">
      <c r="A2734" s="6" t="s">
        <v>8</v>
      </c>
      <c r="B2734" s="6" t="s">
        <v>16</v>
      </c>
      <c r="C2734" s="6" t="s">
        <v>398</v>
      </c>
      <c r="D2734" s="6" t="s">
        <v>35</v>
      </c>
      <c r="E2734" s="6" t="s">
        <v>312</v>
      </c>
      <c r="F2734" s="6" t="s">
        <v>313</v>
      </c>
      <c r="G2734" s="6" t="s">
        <v>392</v>
      </c>
      <c r="H2734" s="6" t="s">
        <v>399</v>
      </c>
      <c r="I2734" s="6" t="s">
        <v>63</v>
      </c>
      <c r="J2734" s="6">
        <v>18.074331282319999</v>
      </c>
      <c r="K2734" s="6">
        <v>-96.173507033608004</v>
      </c>
      <c r="L2734" s="6" t="str">
        <f>HYPERLINK("https://maps.google.com/?q=18.0743312823197,-96.173507033608303", "🔗 Ver Mapa")</f>
        <v>🔗 Ver Mapa</v>
      </c>
    </row>
    <row r="2735" spans="1:12" ht="43.5" x14ac:dyDescent="0.35">
      <c r="A2735" s="5" t="s">
        <v>8</v>
      </c>
      <c r="B2735" s="5" t="s">
        <v>16</v>
      </c>
      <c r="C2735" s="5" t="s">
        <v>398</v>
      </c>
      <c r="D2735" s="5" t="s">
        <v>35</v>
      </c>
      <c r="E2735" s="5" t="s">
        <v>312</v>
      </c>
      <c r="F2735" s="5" t="s">
        <v>313</v>
      </c>
      <c r="G2735" s="5" t="s">
        <v>392</v>
      </c>
      <c r="H2735" s="5" t="s">
        <v>399</v>
      </c>
      <c r="I2735" s="5" t="s">
        <v>63</v>
      </c>
      <c r="J2735" s="5">
        <v>18.074425459969</v>
      </c>
      <c r="K2735" s="5">
        <v>-96.173137208666006</v>
      </c>
      <c r="L2735" s="5" t="str">
        <f>HYPERLINK("https://maps.google.com/?q=18.0744254599689,-96.173137208665693", "🔗 Ver Mapa")</f>
        <v>🔗 Ver Mapa</v>
      </c>
    </row>
    <row r="2736" spans="1:12" ht="43.5" x14ac:dyDescent="0.35">
      <c r="A2736" s="6" t="s">
        <v>8</v>
      </c>
      <c r="B2736" s="6" t="s">
        <v>16</v>
      </c>
      <c r="C2736" s="6" t="s">
        <v>398</v>
      </c>
      <c r="D2736" s="6" t="s">
        <v>35</v>
      </c>
      <c r="E2736" s="6" t="s">
        <v>312</v>
      </c>
      <c r="F2736" s="6" t="s">
        <v>313</v>
      </c>
      <c r="G2736" s="6" t="s">
        <v>392</v>
      </c>
      <c r="H2736" s="6" t="s">
        <v>399</v>
      </c>
      <c r="I2736" s="6" t="s">
        <v>63</v>
      </c>
      <c r="J2736" s="6">
        <v>18.074725274765001</v>
      </c>
      <c r="K2736" s="6">
        <v>-96.169955883433005</v>
      </c>
      <c r="L2736" s="6" t="str">
        <f>HYPERLINK("https://maps.google.com/?q=18.0747252747646,-96.169955883432607", "🔗 Ver Mapa")</f>
        <v>🔗 Ver Mapa</v>
      </c>
    </row>
    <row r="2737" spans="1:12" ht="43.5" x14ac:dyDescent="0.35">
      <c r="A2737" s="5" t="s">
        <v>8</v>
      </c>
      <c r="B2737" s="5" t="s">
        <v>16</v>
      </c>
      <c r="C2737" s="5" t="s">
        <v>398</v>
      </c>
      <c r="D2737" s="5" t="s">
        <v>35</v>
      </c>
      <c r="E2737" s="5" t="s">
        <v>312</v>
      </c>
      <c r="F2737" s="5" t="s">
        <v>313</v>
      </c>
      <c r="G2737" s="5" t="s">
        <v>392</v>
      </c>
      <c r="H2737" s="5" t="s">
        <v>399</v>
      </c>
      <c r="I2737" s="5" t="s">
        <v>63</v>
      </c>
      <c r="J2737" s="5">
        <v>18.074805000000001</v>
      </c>
      <c r="K2737" s="5">
        <v>-96.173275000000004</v>
      </c>
      <c r="L2737" s="5" t="str">
        <f>HYPERLINK("https://maps.google.com/?q=18.074805,-96.173275000000004", "🔗 Ver Mapa")</f>
        <v>🔗 Ver Mapa</v>
      </c>
    </row>
    <row r="2738" spans="1:12" ht="43.5" x14ac:dyDescent="0.35">
      <c r="A2738" s="6" t="s">
        <v>8</v>
      </c>
      <c r="B2738" s="6" t="s">
        <v>16</v>
      </c>
      <c r="C2738" s="6" t="s">
        <v>398</v>
      </c>
      <c r="D2738" s="6" t="s">
        <v>35</v>
      </c>
      <c r="E2738" s="6" t="s">
        <v>312</v>
      </c>
      <c r="F2738" s="6" t="s">
        <v>313</v>
      </c>
      <c r="G2738" s="6" t="s">
        <v>392</v>
      </c>
      <c r="H2738" s="6" t="s">
        <v>399</v>
      </c>
      <c r="I2738" s="6" t="s">
        <v>63</v>
      </c>
      <c r="J2738" s="6">
        <v>18.074968639108999</v>
      </c>
      <c r="K2738" s="6">
        <v>-96.173318333371</v>
      </c>
      <c r="L2738" s="6" t="str">
        <f>HYPERLINK("https://maps.google.com/?q=18.0749686391091,-96.173318333370901", "🔗 Ver Mapa")</f>
        <v>🔗 Ver Mapa</v>
      </c>
    </row>
    <row r="2739" spans="1:12" ht="43.5" x14ac:dyDescent="0.35">
      <c r="A2739" s="5" t="s">
        <v>8</v>
      </c>
      <c r="B2739" s="5" t="s">
        <v>16</v>
      </c>
      <c r="C2739" s="5" t="s">
        <v>398</v>
      </c>
      <c r="D2739" s="5" t="s">
        <v>35</v>
      </c>
      <c r="E2739" s="5" t="s">
        <v>312</v>
      </c>
      <c r="F2739" s="5" t="s">
        <v>313</v>
      </c>
      <c r="G2739" s="5" t="s">
        <v>392</v>
      </c>
      <c r="H2739" s="5" t="s">
        <v>399</v>
      </c>
      <c r="I2739" s="5" t="s">
        <v>63</v>
      </c>
      <c r="J2739" s="5">
        <v>18.075030049757</v>
      </c>
      <c r="K2739" s="5">
        <v>-96.169291672349999</v>
      </c>
      <c r="L2739" s="5" t="str">
        <f>HYPERLINK("https://maps.google.com/?q=18.0750300497566,-96.169291672349601", "🔗 Ver Mapa")</f>
        <v>🔗 Ver Mapa</v>
      </c>
    </row>
    <row r="2740" spans="1:12" ht="43.5" x14ac:dyDescent="0.35">
      <c r="A2740" s="6" t="s">
        <v>8</v>
      </c>
      <c r="B2740" s="6" t="s">
        <v>16</v>
      </c>
      <c r="C2740" s="6" t="s">
        <v>398</v>
      </c>
      <c r="D2740" s="6" t="s">
        <v>35</v>
      </c>
      <c r="E2740" s="6" t="s">
        <v>312</v>
      </c>
      <c r="F2740" s="6" t="s">
        <v>313</v>
      </c>
      <c r="G2740" s="6" t="s">
        <v>392</v>
      </c>
      <c r="H2740" s="6" t="s">
        <v>399</v>
      </c>
      <c r="I2740" s="6" t="s">
        <v>63</v>
      </c>
      <c r="J2740" s="6">
        <v>18.075199999999999</v>
      </c>
      <c r="K2740" s="6">
        <v>-96.173090000000002</v>
      </c>
      <c r="L2740" s="6" t="str">
        <f>HYPERLINK("https://maps.google.com/?q=18.0752,-96.173090000000002", "🔗 Ver Mapa")</f>
        <v>🔗 Ver Mapa</v>
      </c>
    </row>
    <row r="2741" spans="1:12" ht="43.5" x14ac:dyDescent="0.35">
      <c r="A2741" s="5" t="s">
        <v>8</v>
      </c>
      <c r="B2741" s="5" t="s">
        <v>16</v>
      </c>
      <c r="C2741" s="5" t="s">
        <v>398</v>
      </c>
      <c r="D2741" s="5" t="s">
        <v>35</v>
      </c>
      <c r="E2741" s="5" t="s">
        <v>312</v>
      </c>
      <c r="F2741" s="5" t="s">
        <v>313</v>
      </c>
      <c r="G2741" s="5" t="s">
        <v>392</v>
      </c>
      <c r="H2741" s="5" t="s">
        <v>399</v>
      </c>
      <c r="I2741" s="5" t="s">
        <v>63</v>
      </c>
      <c r="J2741" s="5">
        <v>18.075391129857</v>
      </c>
      <c r="K2741" s="5">
        <v>-96.175966964921002</v>
      </c>
      <c r="L2741" s="5" t="str">
        <f>HYPERLINK("https://maps.google.com/?q=18.0753911298568,-96.175966964920704", "🔗 Ver Mapa")</f>
        <v>🔗 Ver Mapa</v>
      </c>
    </row>
    <row r="2742" spans="1:12" ht="43.5" x14ac:dyDescent="0.35">
      <c r="A2742" s="6" t="s">
        <v>8</v>
      </c>
      <c r="B2742" s="6" t="s">
        <v>16</v>
      </c>
      <c r="C2742" s="6" t="s">
        <v>398</v>
      </c>
      <c r="D2742" s="6" t="s">
        <v>35</v>
      </c>
      <c r="E2742" s="6" t="s">
        <v>312</v>
      </c>
      <c r="F2742" s="6" t="s">
        <v>313</v>
      </c>
      <c r="G2742" s="6" t="s">
        <v>392</v>
      </c>
      <c r="H2742" s="6" t="s">
        <v>399</v>
      </c>
      <c r="I2742" s="6" t="s">
        <v>63</v>
      </c>
      <c r="J2742" s="6">
        <v>18.075538511916999</v>
      </c>
      <c r="K2742" s="6">
        <v>-96.170166250115003</v>
      </c>
      <c r="L2742" s="6" t="str">
        <f>HYPERLINK("https://maps.google.com/?q=18.0755385119174,-96.170166250114903", "🔗 Ver Mapa")</f>
        <v>🔗 Ver Mapa</v>
      </c>
    </row>
    <row r="2743" spans="1:12" ht="43.5" x14ac:dyDescent="0.35">
      <c r="A2743" s="5" t="s">
        <v>8</v>
      </c>
      <c r="B2743" s="5" t="s">
        <v>16</v>
      </c>
      <c r="C2743" s="5" t="s">
        <v>398</v>
      </c>
      <c r="D2743" s="5" t="s">
        <v>35</v>
      </c>
      <c r="E2743" s="5" t="s">
        <v>312</v>
      </c>
      <c r="F2743" s="5" t="s">
        <v>313</v>
      </c>
      <c r="G2743" s="5" t="s">
        <v>392</v>
      </c>
      <c r="H2743" s="5" t="s">
        <v>399</v>
      </c>
      <c r="I2743" s="5" t="s">
        <v>63</v>
      </c>
      <c r="J2743" s="5">
        <v>18.076142645727</v>
      </c>
      <c r="K2743" s="5">
        <v>-96.170569069105994</v>
      </c>
      <c r="L2743" s="5" t="str">
        <f>HYPERLINK("https://maps.google.com/?q=18.0761426457269,-96.170569069105895", "🔗 Ver Mapa")</f>
        <v>🔗 Ver Mapa</v>
      </c>
    </row>
    <row r="2744" spans="1:12" ht="43.5" x14ac:dyDescent="0.35">
      <c r="A2744" s="6" t="s">
        <v>8</v>
      </c>
      <c r="B2744" s="6" t="s">
        <v>16</v>
      </c>
      <c r="C2744" s="6" t="s">
        <v>398</v>
      </c>
      <c r="D2744" s="6" t="s">
        <v>35</v>
      </c>
      <c r="E2744" s="6" t="s">
        <v>312</v>
      </c>
      <c r="F2744" s="6" t="s">
        <v>313</v>
      </c>
      <c r="G2744" s="6" t="s">
        <v>392</v>
      </c>
      <c r="H2744" s="6" t="s">
        <v>399</v>
      </c>
      <c r="I2744" s="6" t="s">
        <v>63</v>
      </c>
      <c r="J2744" s="6">
        <v>18.076798084756</v>
      </c>
      <c r="K2744" s="6">
        <v>-96.178593990983998</v>
      </c>
      <c r="L2744" s="6" t="str">
        <f>HYPERLINK("https://maps.google.com/?q=18.0767980847564,-96.1785939909836", "🔗 Ver Mapa")</f>
        <v>🔗 Ver Mapa</v>
      </c>
    </row>
    <row r="2745" spans="1:12" ht="43.5" x14ac:dyDescent="0.35">
      <c r="A2745" s="5" t="s">
        <v>8</v>
      </c>
      <c r="B2745" s="5" t="s">
        <v>16</v>
      </c>
      <c r="C2745" s="5" t="s">
        <v>398</v>
      </c>
      <c r="D2745" s="5" t="s">
        <v>35</v>
      </c>
      <c r="E2745" s="5" t="s">
        <v>312</v>
      </c>
      <c r="F2745" s="5" t="s">
        <v>313</v>
      </c>
      <c r="G2745" s="5" t="s">
        <v>392</v>
      </c>
      <c r="H2745" s="5" t="s">
        <v>399</v>
      </c>
      <c r="I2745" s="5" t="s">
        <v>63</v>
      </c>
      <c r="J2745" s="5">
        <v>18.076916130133998</v>
      </c>
      <c r="K2745" s="5">
        <v>-96.167891519014006</v>
      </c>
      <c r="L2745" s="5" t="str">
        <f>HYPERLINK("https://maps.google.com/?q=18.076916130134,-96.167891519014404", "🔗 Ver Mapa")</f>
        <v>🔗 Ver Mapa</v>
      </c>
    </row>
    <row r="2746" spans="1:12" ht="43.5" x14ac:dyDescent="0.35">
      <c r="A2746" s="6" t="s">
        <v>8</v>
      </c>
      <c r="B2746" s="6" t="s">
        <v>16</v>
      </c>
      <c r="C2746" s="6" t="s">
        <v>398</v>
      </c>
      <c r="D2746" s="6" t="s">
        <v>35</v>
      </c>
      <c r="E2746" s="6" t="s">
        <v>312</v>
      </c>
      <c r="F2746" s="6" t="s">
        <v>313</v>
      </c>
      <c r="G2746" s="6" t="s">
        <v>392</v>
      </c>
      <c r="H2746" s="6" t="s">
        <v>399</v>
      </c>
      <c r="I2746" s="6" t="s">
        <v>63</v>
      </c>
      <c r="J2746" s="6">
        <v>18.076972490098999</v>
      </c>
      <c r="K2746" s="6">
        <v>-96.168336209822002</v>
      </c>
      <c r="L2746" s="6" t="str">
        <f>HYPERLINK("https://maps.google.com/?q=18.0769724900987,-96.168336209822201", "🔗 Ver Mapa")</f>
        <v>🔗 Ver Mapa</v>
      </c>
    </row>
    <row r="2747" spans="1:12" ht="43.5" x14ac:dyDescent="0.35">
      <c r="A2747" s="5" t="s">
        <v>8</v>
      </c>
      <c r="B2747" s="5" t="s">
        <v>16</v>
      </c>
      <c r="C2747" s="5" t="s">
        <v>398</v>
      </c>
      <c r="D2747" s="5" t="s">
        <v>35</v>
      </c>
      <c r="E2747" s="5" t="s">
        <v>312</v>
      </c>
      <c r="F2747" s="5" t="s">
        <v>313</v>
      </c>
      <c r="G2747" s="5" t="s">
        <v>392</v>
      </c>
      <c r="H2747" s="5" t="s">
        <v>399</v>
      </c>
      <c r="I2747" s="5" t="s">
        <v>63</v>
      </c>
      <c r="J2747" s="5">
        <v>18.077137357131999</v>
      </c>
      <c r="K2747" s="5">
        <v>-96.168123860118996</v>
      </c>
      <c r="L2747" s="5" t="str">
        <f>HYPERLINK("https://maps.google.com/?q=18.0771373571323,-96.168123860118996", "🔗 Ver Mapa")</f>
        <v>🔗 Ver Mapa</v>
      </c>
    </row>
    <row r="2748" spans="1:12" ht="43.5" x14ac:dyDescent="0.35">
      <c r="A2748" s="6" t="s">
        <v>8</v>
      </c>
      <c r="B2748" s="6" t="s">
        <v>16</v>
      </c>
      <c r="C2748" s="6" t="s">
        <v>398</v>
      </c>
      <c r="D2748" s="6" t="s">
        <v>35</v>
      </c>
      <c r="E2748" s="6" t="s">
        <v>312</v>
      </c>
      <c r="F2748" s="6" t="s">
        <v>313</v>
      </c>
      <c r="G2748" s="6" t="s">
        <v>392</v>
      </c>
      <c r="H2748" s="6" t="s">
        <v>399</v>
      </c>
      <c r="I2748" s="6" t="s">
        <v>63</v>
      </c>
      <c r="J2748" s="6">
        <v>18.078438591402001</v>
      </c>
      <c r="K2748" s="6">
        <v>-96.168919570336001</v>
      </c>
      <c r="L2748" s="6" t="str">
        <f>HYPERLINK("https://maps.google.com/?q=18.0784385914023,-96.168919570336499", "🔗 Ver Mapa")</f>
        <v>🔗 Ver Mapa</v>
      </c>
    </row>
    <row r="2749" spans="1:12" ht="43.5" x14ac:dyDescent="0.35">
      <c r="A2749" s="5" t="s">
        <v>8</v>
      </c>
      <c r="B2749" s="5" t="s">
        <v>16</v>
      </c>
      <c r="C2749" s="5" t="s">
        <v>398</v>
      </c>
      <c r="D2749" s="5" t="s">
        <v>35</v>
      </c>
      <c r="E2749" s="5" t="s">
        <v>312</v>
      </c>
      <c r="F2749" s="5" t="s">
        <v>313</v>
      </c>
      <c r="G2749" s="5" t="s">
        <v>392</v>
      </c>
      <c r="H2749" s="5" t="s">
        <v>399</v>
      </c>
      <c r="I2749" s="5" t="s">
        <v>63</v>
      </c>
      <c r="J2749" s="5">
        <v>18.078585416833999</v>
      </c>
      <c r="K2749" s="5">
        <v>-96.168830699406001</v>
      </c>
      <c r="L2749" s="5" t="str">
        <f>HYPERLINK("https://maps.google.com/?q=18.0785854168344,-96.168830699405703", "🔗 Ver Mapa")</f>
        <v>🔗 Ver Mapa</v>
      </c>
    </row>
    <row r="2750" spans="1:12" ht="43.5" x14ac:dyDescent="0.35">
      <c r="A2750" s="6" t="s">
        <v>8</v>
      </c>
      <c r="B2750" s="6" t="s">
        <v>16</v>
      </c>
      <c r="C2750" s="6" t="s">
        <v>398</v>
      </c>
      <c r="D2750" s="6" t="s">
        <v>35</v>
      </c>
      <c r="E2750" s="6" t="s">
        <v>312</v>
      </c>
      <c r="F2750" s="6" t="s">
        <v>313</v>
      </c>
      <c r="G2750" s="6" t="s">
        <v>392</v>
      </c>
      <c r="H2750" s="6" t="s">
        <v>399</v>
      </c>
      <c r="I2750" s="6" t="s">
        <v>63</v>
      </c>
      <c r="J2750" s="6">
        <v>18.079622000000001</v>
      </c>
      <c r="K2750" s="6">
        <v>-96.175483999999997</v>
      </c>
      <c r="L2750" s="6" t="str">
        <f>HYPERLINK("https://maps.google.com/?q=18.079622,-96.175483999999997", "🔗 Ver Mapa")</f>
        <v>🔗 Ver Mapa</v>
      </c>
    </row>
    <row r="2751" spans="1:12" ht="43.5" x14ac:dyDescent="0.35">
      <c r="A2751" s="5" t="s">
        <v>8</v>
      </c>
      <c r="B2751" s="5" t="s">
        <v>16</v>
      </c>
      <c r="C2751" s="5" t="s">
        <v>398</v>
      </c>
      <c r="D2751" s="5" t="s">
        <v>35</v>
      </c>
      <c r="E2751" s="5" t="s">
        <v>312</v>
      </c>
      <c r="F2751" s="5" t="s">
        <v>313</v>
      </c>
      <c r="G2751" s="5" t="s">
        <v>392</v>
      </c>
      <c r="H2751" s="5" t="s">
        <v>399</v>
      </c>
      <c r="I2751" s="5" t="s">
        <v>63</v>
      </c>
      <c r="J2751" s="5">
        <v>18.080030234816</v>
      </c>
      <c r="K2751" s="5">
        <v>-96.168271924078994</v>
      </c>
      <c r="L2751" s="5" t="str">
        <f>HYPERLINK("https://maps.google.com/?q=18.0800302348158,-96.168271924079093", "🔗 Ver Mapa")</f>
        <v>🔗 Ver Mapa</v>
      </c>
    </row>
    <row r="2752" spans="1:12" ht="43.5" x14ac:dyDescent="0.35">
      <c r="A2752" s="6" t="s">
        <v>8</v>
      </c>
      <c r="B2752" s="6" t="s">
        <v>16</v>
      </c>
      <c r="C2752" s="6" t="s">
        <v>398</v>
      </c>
      <c r="D2752" s="6" t="s">
        <v>35</v>
      </c>
      <c r="E2752" s="6" t="s">
        <v>312</v>
      </c>
      <c r="F2752" s="6" t="s">
        <v>313</v>
      </c>
      <c r="G2752" s="6" t="s">
        <v>392</v>
      </c>
      <c r="H2752" s="6" t="s">
        <v>399</v>
      </c>
      <c r="I2752" s="6" t="s">
        <v>63</v>
      </c>
      <c r="J2752" s="6">
        <v>18.081105993139001</v>
      </c>
      <c r="K2752" s="6">
        <v>-96.176004618384994</v>
      </c>
      <c r="L2752" s="6" t="str">
        <f>HYPERLINK("https://maps.google.com/?q=18.0811059931394,-96.176004618385406", "🔗 Ver Mapa")</f>
        <v>🔗 Ver Mapa</v>
      </c>
    </row>
    <row r="2753" spans="1:12" ht="43.5" x14ac:dyDescent="0.35">
      <c r="A2753" s="5" t="s">
        <v>8</v>
      </c>
      <c r="B2753" s="5" t="s">
        <v>16</v>
      </c>
      <c r="C2753" s="5" t="s">
        <v>398</v>
      </c>
      <c r="D2753" s="5" t="s">
        <v>35</v>
      </c>
      <c r="E2753" s="5" t="s">
        <v>312</v>
      </c>
      <c r="F2753" s="5" t="s">
        <v>313</v>
      </c>
      <c r="G2753" s="5" t="s">
        <v>392</v>
      </c>
      <c r="H2753" s="5" t="s">
        <v>399</v>
      </c>
      <c r="I2753" s="5" t="s">
        <v>63</v>
      </c>
      <c r="J2753" s="5">
        <v>18.081417429462</v>
      </c>
      <c r="K2753" s="5">
        <v>-96.174821673611007</v>
      </c>
      <c r="L2753" s="5" t="str">
        <f>HYPERLINK("https://maps.google.com/?q=18.081417429462,-96.174821673610793", "🔗 Ver Mapa")</f>
        <v>🔗 Ver Mapa</v>
      </c>
    </row>
    <row r="2754" spans="1:12" ht="43.5" x14ac:dyDescent="0.35">
      <c r="A2754" s="6" t="s">
        <v>8</v>
      </c>
      <c r="B2754" s="6" t="s">
        <v>16</v>
      </c>
      <c r="C2754" s="6" t="s">
        <v>398</v>
      </c>
      <c r="D2754" s="6" t="s">
        <v>35</v>
      </c>
      <c r="E2754" s="6" t="s">
        <v>312</v>
      </c>
      <c r="F2754" s="6" t="s">
        <v>313</v>
      </c>
      <c r="G2754" s="6" t="s">
        <v>392</v>
      </c>
      <c r="H2754" s="6" t="s">
        <v>399</v>
      </c>
      <c r="I2754" s="6" t="s">
        <v>63</v>
      </c>
      <c r="J2754" s="6">
        <v>18.081687557643001</v>
      </c>
      <c r="K2754" s="6">
        <v>-96.176017626982997</v>
      </c>
      <c r="L2754" s="6" t="str">
        <f>HYPERLINK("https://maps.google.com/?q=18.0816875576426,-96.176017626983494", "🔗 Ver Mapa")</f>
        <v>🔗 Ver Mapa</v>
      </c>
    </row>
    <row r="2755" spans="1:12" ht="43.5" x14ac:dyDescent="0.35">
      <c r="A2755" s="5" t="s">
        <v>8</v>
      </c>
      <c r="B2755" s="5" t="s">
        <v>16</v>
      </c>
      <c r="C2755" s="5" t="s">
        <v>398</v>
      </c>
      <c r="D2755" s="5" t="s">
        <v>35</v>
      </c>
      <c r="E2755" s="5" t="s">
        <v>312</v>
      </c>
      <c r="F2755" s="5" t="s">
        <v>313</v>
      </c>
      <c r="G2755" s="5" t="s">
        <v>392</v>
      </c>
      <c r="H2755" s="5" t="s">
        <v>399</v>
      </c>
      <c r="I2755" s="5" t="s">
        <v>63</v>
      </c>
      <c r="J2755" s="5">
        <v>18.081815586371999</v>
      </c>
      <c r="K2755" s="5">
        <v>-96.168006673611004</v>
      </c>
      <c r="L2755" s="5" t="str">
        <f>HYPERLINK("https://maps.google.com/?q=18.0818155863722,-96.168006673610506", "🔗 Ver Mapa")</f>
        <v>🔗 Ver Mapa</v>
      </c>
    </row>
    <row r="2756" spans="1:12" ht="43.5" x14ac:dyDescent="0.35">
      <c r="A2756" s="6" t="s">
        <v>8</v>
      </c>
      <c r="B2756" s="6" t="s">
        <v>16</v>
      </c>
      <c r="C2756" s="6" t="s">
        <v>398</v>
      </c>
      <c r="D2756" s="6" t="s">
        <v>35</v>
      </c>
      <c r="E2756" s="6" t="s">
        <v>312</v>
      </c>
      <c r="F2756" s="6" t="s">
        <v>313</v>
      </c>
      <c r="G2756" s="6" t="s">
        <v>392</v>
      </c>
      <c r="H2756" s="6" t="s">
        <v>399</v>
      </c>
      <c r="I2756" s="6" t="s">
        <v>63</v>
      </c>
      <c r="J2756" s="6">
        <v>18.081834183320002</v>
      </c>
      <c r="K2756" s="6">
        <v>-96.176303466269999</v>
      </c>
      <c r="L2756" s="6" t="str">
        <f>HYPERLINK("https://maps.google.com/?q=18.0818341833202,-96.176303466270497", "🔗 Ver Mapa")</f>
        <v>🔗 Ver Mapa</v>
      </c>
    </row>
    <row r="2757" spans="1:12" ht="43.5" x14ac:dyDescent="0.35">
      <c r="A2757" s="5" t="s">
        <v>8</v>
      </c>
      <c r="B2757" s="5" t="s">
        <v>16</v>
      </c>
      <c r="C2757" s="5" t="s">
        <v>398</v>
      </c>
      <c r="D2757" s="5" t="s">
        <v>35</v>
      </c>
      <c r="E2757" s="5" t="s">
        <v>312</v>
      </c>
      <c r="F2757" s="5" t="s">
        <v>313</v>
      </c>
      <c r="G2757" s="5" t="s">
        <v>392</v>
      </c>
      <c r="H2757" s="5" t="s">
        <v>399</v>
      </c>
      <c r="I2757" s="5" t="s">
        <v>63</v>
      </c>
      <c r="J2757" s="5">
        <v>18.081849727976</v>
      </c>
      <c r="K2757" s="5">
        <v>-96.175392726355</v>
      </c>
      <c r="L2757" s="5" t="str">
        <f>HYPERLINK("https://maps.google.com/?q=18.0818497279764,-96.175392726354701", "🔗 Ver Mapa")</f>
        <v>🔗 Ver Mapa</v>
      </c>
    </row>
    <row r="2758" spans="1:12" ht="43.5" x14ac:dyDescent="0.35">
      <c r="A2758" s="6" t="s">
        <v>8</v>
      </c>
      <c r="B2758" s="6" t="s">
        <v>16</v>
      </c>
      <c r="C2758" s="6" t="s">
        <v>398</v>
      </c>
      <c r="D2758" s="6" t="s">
        <v>35</v>
      </c>
      <c r="E2758" s="6" t="s">
        <v>312</v>
      </c>
      <c r="F2758" s="6" t="s">
        <v>313</v>
      </c>
      <c r="G2758" s="6" t="s">
        <v>392</v>
      </c>
      <c r="H2758" s="6" t="s">
        <v>399</v>
      </c>
      <c r="I2758" s="6" t="s">
        <v>63</v>
      </c>
      <c r="J2758" s="6">
        <v>18.081997434658</v>
      </c>
      <c r="K2758" s="6">
        <v>-96.176320107969005</v>
      </c>
      <c r="L2758" s="6" t="str">
        <f>HYPERLINK("https://maps.google.com/?q=18.0819974346578,-96.176320107969403", "🔗 Ver Mapa")</f>
        <v>🔗 Ver Mapa</v>
      </c>
    </row>
    <row r="2759" spans="1:12" ht="43.5" x14ac:dyDescent="0.35">
      <c r="A2759" s="5" t="s">
        <v>8</v>
      </c>
      <c r="B2759" s="5" t="s">
        <v>16</v>
      </c>
      <c r="C2759" s="5" t="s">
        <v>398</v>
      </c>
      <c r="D2759" s="5" t="s">
        <v>35</v>
      </c>
      <c r="E2759" s="5" t="s">
        <v>312</v>
      </c>
      <c r="F2759" s="5" t="s">
        <v>313</v>
      </c>
      <c r="G2759" s="5" t="s">
        <v>392</v>
      </c>
      <c r="H2759" s="5" t="s">
        <v>399</v>
      </c>
      <c r="I2759" s="5" t="s">
        <v>63</v>
      </c>
      <c r="J2759" s="5">
        <v>18.082352837948001</v>
      </c>
      <c r="K2759" s="5">
        <v>-96.175223428242006</v>
      </c>
      <c r="L2759" s="5" t="str">
        <f>HYPERLINK("https://maps.google.com/?q=18.0823528379483,-96.175223428242106", "🔗 Ver Mapa")</f>
        <v>🔗 Ver Mapa</v>
      </c>
    </row>
    <row r="2760" spans="1:12" ht="43.5" x14ac:dyDescent="0.35">
      <c r="A2760" s="6" t="s">
        <v>8</v>
      </c>
      <c r="B2760" s="6" t="s">
        <v>16</v>
      </c>
      <c r="C2760" s="6" t="s">
        <v>398</v>
      </c>
      <c r="D2760" s="6" t="s">
        <v>35</v>
      </c>
      <c r="E2760" s="6" t="s">
        <v>312</v>
      </c>
      <c r="F2760" s="6" t="s">
        <v>313</v>
      </c>
      <c r="G2760" s="6" t="s">
        <v>392</v>
      </c>
      <c r="H2760" s="6" t="s">
        <v>399</v>
      </c>
      <c r="I2760" s="6" t="s">
        <v>63</v>
      </c>
      <c r="J2760" s="6">
        <v>18.082986129527001</v>
      </c>
      <c r="K2760" s="6">
        <v>-96.175768581482004</v>
      </c>
      <c r="L2760" s="6" t="str">
        <f>HYPERLINK("https://maps.google.com/?q=18.082986129527,-96.175768581481606", "🔗 Ver Mapa")</f>
        <v>🔗 Ver Mapa</v>
      </c>
    </row>
    <row r="2761" spans="1:12" ht="43.5" x14ac:dyDescent="0.35">
      <c r="A2761" s="5" t="s">
        <v>8</v>
      </c>
      <c r="B2761" s="5" t="s">
        <v>16</v>
      </c>
      <c r="C2761" s="5" t="s">
        <v>398</v>
      </c>
      <c r="D2761" s="5" t="s">
        <v>35</v>
      </c>
      <c r="E2761" s="5" t="s">
        <v>312</v>
      </c>
      <c r="F2761" s="5" t="s">
        <v>313</v>
      </c>
      <c r="G2761" s="5" t="s">
        <v>392</v>
      </c>
      <c r="H2761" s="5" t="s">
        <v>399</v>
      </c>
      <c r="I2761" s="5" t="s">
        <v>63</v>
      </c>
      <c r="J2761" s="5">
        <v>18.083052330160999</v>
      </c>
      <c r="K2761" s="5">
        <v>-96.164478542327998</v>
      </c>
      <c r="L2761" s="5" t="str">
        <f>HYPERLINK("https://maps.google.com/?q=18.0830523301609,-96.164478542327899", "🔗 Ver Mapa")</f>
        <v>🔗 Ver Mapa</v>
      </c>
    </row>
    <row r="2762" spans="1:12" ht="43.5" x14ac:dyDescent="0.35">
      <c r="A2762" s="6" t="s">
        <v>8</v>
      </c>
      <c r="B2762" s="6" t="s">
        <v>16</v>
      </c>
      <c r="C2762" s="6" t="s">
        <v>398</v>
      </c>
      <c r="D2762" s="6" t="s">
        <v>35</v>
      </c>
      <c r="E2762" s="6" t="s">
        <v>312</v>
      </c>
      <c r="F2762" s="6" t="s">
        <v>313</v>
      </c>
      <c r="G2762" s="6" t="s">
        <v>392</v>
      </c>
      <c r="H2762" s="6" t="s">
        <v>399</v>
      </c>
      <c r="I2762" s="6" t="s">
        <v>63</v>
      </c>
      <c r="J2762" s="6">
        <v>18.083232616063</v>
      </c>
      <c r="K2762" s="6">
        <v>-96.170284239251998</v>
      </c>
      <c r="L2762" s="6" t="str">
        <f>HYPERLINK("https://maps.google.com/?q=18.0832326160626,-96.170284239251998", "🔗 Ver Mapa")</f>
        <v>🔗 Ver Mapa</v>
      </c>
    </row>
    <row r="2763" spans="1:12" ht="43.5" x14ac:dyDescent="0.35">
      <c r="A2763" s="5" t="s">
        <v>8</v>
      </c>
      <c r="B2763" s="5" t="s">
        <v>16</v>
      </c>
      <c r="C2763" s="5" t="s">
        <v>398</v>
      </c>
      <c r="D2763" s="5" t="s">
        <v>35</v>
      </c>
      <c r="E2763" s="5" t="s">
        <v>312</v>
      </c>
      <c r="F2763" s="5" t="s">
        <v>313</v>
      </c>
      <c r="G2763" s="5" t="s">
        <v>392</v>
      </c>
      <c r="H2763" s="5" t="s">
        <v>399</v>
      </c>
      <c r="I2763" s="5" t="s">
        <v>63</v>
      </c>
      <c r="J2763" s="5">
        <v>18.08325</v>
      </c>
      <c r="K2763" s="5">
        <v>-96.164671999999996</v>
      </c>
      <c r="L2763" s="5" t="str">
        <f>HYPERLINK("https://maps.google.com/?q=18.08325,-96.164671999999996", "🔗 Ver Mapa")</f>
        <v>🔗 Ver Mapa</v>
      </c>
    </row>
    <row r="2764" spans="1:12" ht="43.5" x14ac:dyDescent="0.35">
      <c r="A2764" s="6" t="s">
        <v>8</v>
      </c>
      <c r="B2764" s="6" t="s">
        <v>16</v>
      </c>
      <c r="C2764" s="6" t="s">
        <v>398</v>
      </c>
      <c r="D2764" s="6" t="s">
        <v>35</v>
      </c>
      <c r="E2764" s="6" t="s">
        <v>312</v>
      </c>
      <c r="F2764" s="6" t="s">
        <v>313</v>
      </c>
      <c r="G2764" s="6" t="s">
        <v>392</v>
      </c>
      <c r="H2764" s="6" t="s">
        <v>399</v>
      </c>
      <c r="I2764" s="6" t="s">
        <v>63</v>
      </c>
      <c r="J2764" s="6">
        <v>18.083250482111001</v>
      </c>
      <c r="K2764" s="6">
        <v>-96.164838364418998</v>
      </c>
      <c r="L2764" s="6" t="str">
        <f>HYPERLINK("https://maps.google.com/?q=18.0832504821109,-96.1648383644185", "🔗 Ver Mapa")</f>
        <v>🔗 Ver Mapa</v>
      </c>
    </row>
    <row r="2765" spans="1:12" ht="43.5" x14ac:dyDescent="0.35">
      <c r="A2765" s="5" t="s">
        <v>8</v>
      </c>
      <c r="B2765" s="5" t="s">
        <v>16</v>
      </c>
      <c r="C2765" s="5" t="s">
        <v>398</v>
      </c>
      <c r="D2765" s="5" t="s">
        <v>35</v>
      </c>
      <c r="E2765" s="5" t="s">
        <v>312</v>
      </c>
      <c r="F2765" s="5" t="s">
        <v>313</v>
      </c>
      <c r="G2765" s="5" t="s">
        <v>392</v>
      </c>
      <c r="H2765" s="5" t="s">
        <v>399</v>
      </c>
      <c r="I2765" s="5" t="s">
        <v>63</v>
      </c>
      <c r="J2765" s="5">
        <v>18.083517472349001</v>
      </c>
      <c r="K2765" s="5">
        <v>-96.164259641699005</v>
      </c>
      <c r="L2765" s="5" t="str">
        <f>HYPERLINK("https://maps.google.com/?q=18.083517472349,-96.164259641698905", "🔗 Ver Mapa")</f>
        <v>🔗 Ver Mapa</v>
      </c>
    </row>
    <row r="2766" spans="1:12" ht="43.5" x14ac:dyDescent="0.35">
      <c r="A2766" s="6" t="s">
        <v>8</v>
      </c>
      <c r="B2766" s="6" t="s">
        <v>16</v>
      </c>
      <c r="C2766" s="6" t="s">
        <v>398</v>
      </c>
      <c r="D2766" s="6" t="s">
        <v>35</v>
      </c>
      <c r="E2766" s="6" t="s">
        <v>312</v>
      </c>
      <c r="F2766" s="6" t="s">
        <v>313</v>
      </c>
      <c r="G2766" s="6" t="s">
        <v>392</v>
      </c>
      <c r="H2766" s="6" t="s">
        <v>399</v>
      </c>
      <c r="I2766" s="6" t="s">
        <v>63</v>
      </c>
      <c r="J2766" s="6">
        <v>18.083560261453002</v>
      </c>
      <c r="K2766" s="6">
        <v>-96.164962640487005</v>
      </c>
      <c r="L2766" s="6" t="str">
        <f>HYPERLINK("https://maps.google.com/?q=18.0835602614525,-96.164962640486706", "🔗 Ver Mapa")</f>
        <v>🔗 Ver Mapa</v>
      </c>
    </row>
    <row r="2767" spans="1:12" ht="43.5" x14ac:dyDescent="0.35">
      <c r="A2767" s="5" t="s">
        <v>8</v>
      </c>
      <c r="B2767" s="5" t="s">
        <v>16</v>
      </c>
      <c r="C2767" s="5" t="s">
        <v>398</v>
      </c>
      <c r="D2767" s="5" t="s">
        <v>35</v>
      </c>
      <c r="E2767" s="5" t="s">
        <v>312</v>
      </c>
      <c r="F2767" s="5" t="s">
        <v>313</v>
      </c>
      <c r="G2767" s="5" t="s">
        <v>392</v>
      </c>
      <c r="H2767" s="5" t="s">
        <v>399</v>
      </c>
      <c r="I2767" s="5" t="s">
        <v>63</v>
      </c>
      <c r="J2767" s="5">
        <v>18.083584261950001</v>
      </c>
      <c r="K2767" s="5">
        <v>-96.164604447444006</v>
      </c>
      <c r="L2767" s="5" t="str">
        <f>HYPERLINK("https://maps.google.com/?q=18.0835842619503,-96.164604447443807", "🔗 Ver Mapa")</f>
        <v>🔗 Ver Mapa</v>
      </c>
    </row>
    <row r="2768" spans="1:12" ht="43.5" x14ac:dyDescent="0.35">
      <c r="A2768" s="6" t="s">
        <v>8</v>
      </c>
      <c r="B2768" s="6" t="s">
        <v>16</v>
      </c>
      <c r="C2768" s="6" t="s">
        <v>398</v>
      </c>
      <c r="D2768" s="6" t="s">
        <v>35</v>
      </c>
      <c r="E2768" s="6" t="s">
        <v>312</v>
      </c>
      <c r="F2768" s="6" t="s">
        <v>313</v>
      </c>
      <c r="G2768" s="6" t="s">
        <v>392</v>
      </c>
      <c r="H2768" s="6" t="s">
        <v>399</v>
      </c>
      <c r="I2768" s="6" t="s">
        <v>63</v>
      </c>
      <c r="J2768" s="6">
        <v>18.083709974636999</v>
      </c>
      <c r="K2768" s="6">
        <v>-96.166963954748994</v>
      </c>
      <c r="L2768" s="6" t="str">
        <f>HYPERLINK("https://maps.google.com/?q=18.0837099746368,-96.166963954749406", "🔗 Ver Mapa")</f>
        <v>🔗 Ver Mapa</v>
      </c>
    </row>
    <row r="2769" spans="1:12" ht="43.5" x14ac:dyDescent="0.35">
      <c r="A2769" s="5" t="s">
        <v>8</v>
      </c>
      <c r="B2769" s="5" t="s">
        <v>16</v>
      </c>
      <c r="C2769" s="5" t="s">
        <v>398</v>
      </c>
      <c r="D2769" s="5" t="s">
        <v>35</v>
      </c>
      <c r="E2769" s="5" t="s">
        <v>312</v>
      </c>
      <c r="F2769" s="5" t="s">
        <v>313</v>
      </c>
      <c r="G2769" s="5" t="s">
        <v>392</v>
      </c>
      <c r="H2769" s="5" t="s">
        <v>399</v>
      </c>
      <c r="I2769" s="5" t="s">
        <v>63</v>
      </c>
      <c r="J2769" s="5">
        <v>18.083871188741998</v>
      </c>
      <c r="K2769" s="5">
        <v>-96.167117724145996</v>
      </c>
      <c r="L2769" s="5" t="str">
        <f>HYPERLINK("https://maps.google.com/?q=18.0838711887416,-96.167117724145598", "🔗 Ver Mapa")</f>
        <v>🔗 Ver Mapa</v>
      </c>
    </row>
    <row r="2770" spans="1:12" ht="43.5" x14ac:dyDescent="0.35">
      <c r="A2770" s="6" t="s">
        <v>8</v>
      </c>
      <c r="B2770" s="6" t="s">
        <v>16</v>
      </c>
      <c r="C2770" s="6" t="s">
        <v>398</v>
      </c>
      <c r="D2770" s="6" t="s">
        <v>35</v>
      </c>
      <c r="E2770" s="6" t="s">
        <v>312</v>
      </c>
      <c r="F2770" s="6" t="s">
        <v>313</v>
      </c>
      <c r="G2770" s="6" t="s">
        <v>392</v>
      </c>
      <c r="H2770" s="6" t="s">
        <v>399</v>
      </c>
      <c r="I2770" s="6" t="s">
        <v>63</v>
      </c>
      <c r="J2770" s="6">
        <v>18.083891243976002</v>
      </c>
      <c r="K2770" s="6">
        <v>-96.166298482692</v>
      </c>
      <c r="L2770" s="6" t="str">
        <f>HYPERLINK("https://maps.google.com/?q=18.0838912439762,-96.166298482692099", "🔗 Ver Mapa")</f>
        <v>🔗 Ver Mapa</v>
      </c>
    </row>
    <row r="2771" spans="1:12" ht="43.5" x14ac:dyDescent="0.35">
      <c r="A2771" s="5" t="s">
        <v>8</v>
      </c>
      <c r="B2771" s="5" t="s">
        <v>16</v>
      </c>
      <c r="C2771" s="5" t="s">
        <v>398</v>
      </c>
      <c r="D2771" s="5" t="s">
        <v>35</v>
      </c>
      <c r="E2771" s="5" t="s">
        <v>312</v>
      </c>
      <c r="F2771" s="5" t="s">
        <v>313</v>
      </c>
      <c r="G2771" s="5" t="s">
        <v>392</v>
      </c>
      <c r="H2771" s="5" t="s">
        <v>399</v>
      </c>
      <c r="I2771" s="5" t="s">
        <v>63</v>
      </c>
      <c r="J2771" s="5">
        <v>18.083905605123999</v>
      </c>
      <c r="K2771" s="5">
        <v>-96.166521446014997</v>
      </c>
      <c r="L2771" s="5" t="str">
        <f>HYPERLINK("https://maps.google.com/?q=18.0839056051241,-96.166521446015494", "🔗 Ver Mapa")</f>
        <v>🔗 Ver Mapa</v>
      </c>
    </row>
    <row r="2772" spans="1:12" ht="43.5" x14ac:dyDescent="0.35">
      <c r="A2772" s="6" t="s">
        <v>8</v>
      </c>
      <c r="B2772" s="6" t="s">
        <v>16</v>
      </c>
      <c r="C2772" s="6" t="s">
        <v>398</v>
      </c>
      <c r="D2772" s="6" t="s">
        <v>35</v>
      </c>
      <c r="E2772" s="6" t="s">
        <v>312</v>
      </c>
      <c r="F2772" s="6" t="s">
        <v>313</v>
      </c>
      <c r="G2772" s="6" t="s">
        <v>392</v>
      </c>
      <c r="H2772" s="6" t="s">
        <v>399</v>
      </c>
      <c r="I2772" s="6" t="s">
        <v>63</v>
      </c>
      <c r="J2772" s="6">
        <v>18.083935455759999</v>
      </c>
      <c r="K2772" s="6">
        <v>-96.166781337176005</v>
      </c>
      <c r="L2772" s="6" t="str">
        <f>HYPERLINK("https://maps.google.com/?q=18.08393545576,-96.166781337175706", "🔗 Ver Mapa")</f>
        <v>🔗 Ver Mapa</v>
      </c>
    </row>
    <row r="2773" spans="1:12" ht="43.5" x14ac:dyDescent="0.35">
      <c r="A2773" s="5" t="s">
        <v>8</v>
      </c>
      <c r="B2773" s="5" t="s">
        <v>16</v>
      </c>
      <c r="C2773" s="5" t="s">
        <v>398</v>
      </c>
      <c r="D2773" s="5" t="s">
        <v>35</v>
      </c>
      <c r="E2773" s="5" t="s">
        <v>312</v>
      </c>
      <c r="F2773" s="5" t="s">
        <v>313</v>
      </c>
      <c r="G2773" s="5" t="s">
        <v>392</v>
      </c>
      <c r="H2773" s="5" t="s">
        <v>399</v>
      </c>
      <c r="I2773" s="5" t="s">
        <v>63</v>
      </c>
      <c r="J2773" s="5">
        <v>18.084007225137999</v>
      </c>
      <c r="K2773" s="5">
        <v>-96.168243375106002</v>
      </c>
      <c r="L2773" s="5" t="str">
        <f>HYPERLINK("https://maps.google.com/?q=18.0840072251377,-96.168243375105604", "🔗 Ver Mapa")</f>
        <v>🔗 Ver Mapa</v>
      </c>
    </row>
    <row r="2774" spans="1:12" ht="43.5" x14ac:dyDescent="0.35">
      <c r="A2774" s="6" t="s">
        <v>8</v>
      </c>
      <c r="B2774" s="6" t="s">
        <v>16</v>
      </c>
      <c r="C2774" s="6" t="s">
        <v>398</v>
      </c>
      <c r="D2774" s="6" t="s">
        <v>35</v>
      </c>
      <c r="E2774" s="6" t="s">
        <v>312</v>
      </c>
      <c r="F2774" s="6" t="s">
        <v>313</v>
      </c>
      <c r="G2774" s="6" t="s">
        <v>392</v>
      </c>
      <c r="H2774" s="6" t="s">
        <v>399</v>
      </c>
      <c r="I2774" s="6" t="s">
        <v>63</v>
      </c>
      <c r="J2774" s="6">
        <v>18.084270777861001</v>
      </c>
      <c r="K2774" s="6">
        <v>-96.164803014563006</v>
      </c>
      <c r="L2774" s="6" t="str">
        <f>HYPERLINK("https://maps.google.com/?q=18.0842707778611,-96.164803014563304", "🔗 Ver Mapa")</f>
        <v>🔗 Ver Mapa</v>
      </c>
    </row>
    <row r="2775" spans="1:12" ht="43.5" x14ac:dyDescent="0.35">
      <c r="A2775" s="5" t="s">
        <v>8</v>
      </c>
      <c r="B2775" s="5" t="s">
        <v>16</v>
      </c>
      <c r="C2775" s="5" t="s">
        <v>398</v>
      </c>
      <c r="D2775" s="5" t="s">
        <v>35</v>
      </c>
      <c r="E2775" s="5" t="s">
        <v>312</v>
      </c>
      <c r="F2775" s="5" t="s">
        <v>313</v>
      </c>
      <c r="G2775" s="5" t="s">
        <v>392</v>
      </c>
      <c r="H2775" s="5" t="s">
        <v>399</v>
      </c>
      <c r="I2775" s="5" t="s">
        <v>63</v>
      </c>
      <c r="J2775" s="5">
        <v>18.084501696852001</v>
      </c>
      <c r="K2775" s="5">
        <v>-96.167292790283</v>
      </c>
      <c r="L2775" s="5" t="str">
        <f>HYPERLINK("https://maps.google.com/?q=18.0845016968522,-96.167292790283298", "🔗 Ver Mapa")</f>
        <v>🔗 Ver Mapa</v>
      </c>
    </row>
    <row r="2776" spans="1:12" ht="43.5" x14ac:dyDescent="0.35">
      <c r="A2776" s="6" t="s">
        <v>8</v>
      </c>
      <c r="B2776" s="6" t="s">
        <v>16</v>
      </c>
      <c r="C2776" s="6" t="s">
        <v>398</v>
      </c>
      <c r="D2776" s="6" t="s">
        <v>35</v>
      </c>
      <c r="E2776" s="6" t="s">
        <v>312</v>
      </c>
      <c r="F2776" s="6" t="s">
        <v>313</v>
      </c>
      <c r="G2776" s="6" t="s">
        <v>392</v>
      </c>
      <c r="H2776" s="6" t="s">
        <v>399</v>
      </c>
      <c r="I2776" s="6" t="s">
        <v>63</v>
      </c>
      <c r="J2776" s="6">
        <v>18.084732154924001</v>
      </c>
      <c r="K2776" s="6">
        <v>-96.167180842921994</v>
      </c>
      <c r="L2776" s="6" t="str">
        <f>HYPERLINK("https://maps.google.com/?q=18.0847321549239,-96.167180842922306", "🔗 Ver Mapa")</f>
        <v>🔗 Ver Mapa</v>
      </c>
    </row>
    <row r="2777" spans="1:12" ht="43.5" x14ac:dyDescent="0.35">
      <c r="A2777" s="5" t="s">
        <v>8</v>
      </c>
      <c r="B2777" s="5" t="s">
        <v>16</v>
      </c>
      <c r="C2777" s="5" t="s">
        <v>398</v>
      </c>
      <c r="D2777" s="5" t="s">
        <v>35</v>
      </c>
      <c r="E2777" s="5" t="s">
        <v>312</v>
      </c>
      <c r="F2777" s="5" t="s">
        <v>313</v>
      </c>
      <c r="G2777" s="5" t="s">
        <v>392</v>
      </c>
      <c r="H2777" s="5" t="s">
        <v>399</v>
      </c>
      <c r="I2777" s="5" t="s">
        <v>63</v>
      </c>
      <c r="J2777" s="5">
        <v>18.084854332081001</v>
      </c>
      <c r="K2777" s="5">
        <v>-96.169269145195997</v>
      </c>
      <c r="L2777" s="5" t="str">
        <f>HYPERLINK("https://maps.google.com/?q=18.0848543320809,-96.169269145195997", "🔗 Ver Mapa")</f>
        <v>🔗 Ver Mapa</v>
      </c>
    </row>
    <row r="2778" spans="1:12" ht="43.5" x14ac:dyDescent="0.35">
      <c r="A2778" s="6" t="s">
        <v>8</v>
      </c>
      <c r="B2778" s="6" t="s">
        <v>16</v>
      </c>
      <c r="C2778" s="6" t="s">
        <v>398</v>
      </c>
      <c r="D2778" s="6" t="s">
        <v>35</v>
      </c>
      <c r="E2778" s="6" t="s">
        <v>312</v>
      </c>
      <c r="F2778" s="6" t="s">
        <v>313</v>
      </c>
      <c r="G2778" s="6" t="s">
        <v>392</v>
      </c>
      <c r="H2778" s="6" t="s">
        <v>399</v>
      </c>
      <c r="I2778" s="6" t="s">
        <v>63</v>
      </c>
      <c r="J2778" s="6">
        <v>18.084967248360002</v>
      </c>
      <c r="K2778" s="6">
        <v>-96.168964326389002</v>
      </c>
      <c r="L2778" s="6" t="str">
        <f>HYPERLINK("https://maps.google.com/?q=18.0849672483601,-96.1689643263893", "🔗 Ver Mapa")</f>
        <v>🔗 Ver Mapa</v>
      </c>
    </row>
    <row r="2779" spans="1:12" ht="43.5" x14ac:dyDescent="0.35">
      <c r="A2779" s="5" t="s">
        <v>8</v>
      </c>
      <c r="B2779" s="5" t="s">
        <v>16</v>
      </c>
      <c r="C2779" s="5" t="s">
        <v>398</v>
      </c>
      <c r="D2779" s="5" t="s">
        <v>35</v>
      </c>
      <c r="E2779" s="5" t="s">
        <v>312</v>
      </c>
      <c r="F2779" s="5" t="s">
        <v>313</v>
      </c>
      <c r="G2779" s="5" t="s">
        <v>392</v>
      </c>
      <c r="H2779" s="5" t="s">
        <v>399</v>
      </c>
      <c r="I2779" s="5" t="s">
        <v>63</v>
      </c>
      <c r="J2779" s="5">
        <v>18.084992265732001</v>
      </c>
      <c r="K2779" s="5">
        <v>-96.165231364418005</v>
      </c>
      <c r="L2779" s="5" t="str">
        <f>HYPERLINK("https://maps.google.com/?q=18.084992265732,-96.165231364418105", "🔗 Ver Mapa")</f>
        <v>🔗 Ver Mapa</v>
      </c>
    </row>
    <row r="2780" spans="1:12" ht="43.5" x14ac:dyDescent="0.35">
      <c r="A2780" s="6" t="s">
        <v>8</v>
      </c>
      <c r="B2780" s="6" t="s">
        <v>16</v>
      </c>
      <c r="C2780" s="6" t="s">
        <v>398</v>
      </c>
      <c r="D2780" s="6" t="s">
        <v>35</v>
      </c>
      <c r="E2780" s="6" t="s">
        <v>312</v>
      </c>
      <c r="F2780" s="6" t="s">
        <v>313</v>
      </c>
      <c r="G2780" s="6" t="s">
        <v>392</v>
      </c>
      <c r="H2780" s="6" t="s">
        <v>399</v>
      </c>
      <c r="I2780" s="6" t="s">
        <v>63</v>
      </c>
      <c r="J2780" s="6">
        <v>18.085065716328</v>
      </c>
      <c r="K2780" s="6">
        <v>-96.168947472387003</v>
      </c>
      <c r="L2780" s="6" t="str">
        <f>HYPERLINK("https://maps.google.com/?q=18.0850657163283,-96.168947472387302", "🔗 Ver Mapa")</f>
        <v>🔗 Ver Mapa</v>
      </c>
    </row>
    <row r="2781" spans="1:12" ht="43.5" x14ac:dyDescent="0.35">
      <c r="A2781" s="5" t="s">
        <v>8</v>
      </c>
      <c r="B2781" s="5" t="s">
        <v>16</v>
      </c>
      <c r="C2781" s="5" t="s">
        <v>398</v>
      </c>
      <c r="D2781" s="5" t="s">
        <v>35</v>
      </c>
      <c r="E2781" s="5" t="s">
        <v>312</v>
      </c>
      <c r="F2781" s="5" t="s">
        <v>313</v>
      </c>
      <c r="G2781" s="5" t="s">
        <v>392</v>
      </c>
      <c r="H2781" s="5" t="s">
        <v>399</v>
      </c>
      <c r="I2781" s="5" t="s">
        <v>63</v>
      </c>
      <c r="J2781" s="5">
        <v>18.085198552546998</v>
      </c>
      <c r="K2781" s="5">
        <v>-96.169925836805007</v>
      </c>
      <c r="L2781" s="5" t="str">
        <f>HYPERLINK("https://maps.google.com/?q=18.0851985525469,-96.169925836805405", "🔗 Ver Mapa")</f>
        <v>🔗 Ver Mapa</v>
      </c>
    </row>
    <row r="2782" spans="1:12" ht="43.5" x14ac:dyDescent="0.35">
      <c r="A2782" s="6" t="s">
        <v>8</v>
      </c>
      <c r="B2782" s="6" t="s">
        <v>16</v>
      </c>
      <c r="C2782" s="6" t="s">
        <v>398</v>
      </c>
      <c r="D2782" s="6" t="s">
        <v>35</v>
      </c>
      <c r="E2782" s="6" t="s">
        <v>312</v>
      </c>
      <c r="F2782" s="6" t="s">
        <v>313</v>
      </c>
      <c r="G2782" s="6" t="s">
        <v>392</v>
      </c>
      <c r="H2782" s="6" t="s">
        <v>399</v>
      </c>
      <c r="I2782" s="6" t="s">
        <v>63</v>
      </c>
      <c r="J2782" s="6">
        <v>18.085377383400001</v>
      </c>
      <c r="K2782" s="6">
        <v>-96.168315304653007</v>
      </c>
      <c r="L2782" s="6" t="str">
        <f>HYPERLINK("https://maps.google.com/?q=18.0853773834005,-96.168315304652594", "🔗 Ver Mapa")</f>
        <v>🔗 Ver Mapa</v>
      </c>
    </row>
    <row r="2783" spans="1:12" ht="43.5" x14ac:dyDescent="0.35">
      <c r="A2783" s="5" t="s">
        <v>8</v>
      </c>
      <c r="B2783" s="5" t="s">
        <v>16</v>
      </c>
      <c r="C2783" s="5" t="s">
        <v>398</v>
      </c>
      <c r="D2783" s="5" t="s">
        <v>35</v>
      </c>
      <c r="E2783" s="5" t="s">
        <v>312</v>
      </c>
      <c r="F2783" s="5" t="s">
        <v>313</v>
      </c>
      <c r="G2783" s="5" t="s">
        <v>392</v>
      </c>
      <c r="H2783" s="5" t="s">
        <v>399</v>
      </c>
      <c r="I2783" s="5" t="s">
        <v>63</v>
      </c>
      <c r="J2783" s="5">
        <v>18.085515294865999</v>
      </c>
      <c r="K2783" s="5">
        <v>-96.167464510415996</v>
      </c>
      <c r="L2783" s="5" t="str">
        <f>HYPERLINK("https://maps.google.com/?q=18.0855152948659,-96.167464510415996", "🔗 Ver Mapa")</f>
        <v>🔗 Ver Mapa</v>
      </c>
    </row>
    <row r="2784" spans="1:12" ht="43.5" x14ac:dyDescent="0.35">
      <c r="A2784" s="6" t="s">
        <v>8</v>
      </c>
      <c r="B2784" s="6" t="s">
        <v>16</v>
      </c>
      <c r="C2784" s="6" t="s">
        <v>398</v>
      </c>
      <c r="D2784" s="6" t="s">
        <v>35</v>
      </c>
      <c r="E2784" s="6" t="s">
        <v>312</v>
      </c>
      <c r="F2784" s="6" t="s">
        <v>313</v>
      </c>
      <c r="G2784" s="6" t="s">
        <v>392</v>
      </c>
      <c r="H2784" s="6" t="s">
        <v>399</v>
      </c>
      <c r="I2784" s="6" t="s">
        <v>63</v>
      </c>
      <c r="J2784" s="6">
        <v>18.086354403809999</v>
      </c>
      <c r="K2784" s="6">
        <v>-96.170564822387007</v>
      </c>
      <c r="L2784" s="6" t="str">
        <f>HYPERLINK("https://maps.google.com/?q=18.0863544038097,-96.170564822387405", "🔗 Ver Mapa")</f>
        <v>🔗 Ver Mapa</v>
      </c>
    </row>
    <row r="2785" spans="1:12" ht="43.5" x14ac:dyDescent="0.35">
      <c r="A2785" s="5" t="s">
        <v>8</v>
      </c>
      <c r="B2785" s="5" t="s">
        <v>16</v>
      </c>
      <c r="C2785" s="5" t="s">
        <v>398</v>
      </c>
      <c r="D2785" s="5" t="s">
        <v>35</v>
      </c>
      <c r="E2785" s="5" t="s">
        <v>312</v>
      </c>
      <c r="F2785" s="5" t="s">
        <v>313</v>
      </c>
      <c r="G2785" s="5" t="s">
        <v>392</v>
      </c>
      <c r="H2785" s="5" t="s">
        <v>399</v>
      </c>
      <c r="I2785" s="5" t="s">
        <v>63</v>
      </c>
      <c r="J2785" s="5">
        <v>18.087151562271998</v>
      </c>
      <c r="K2785" s="5">
        <v>-96.170954581339004</v>
      </c>
      <c r="L2785" s="5" t="str">
        <f>HYPERLINK("https://maps.google.com/?q=18.0871515622725,-96.170954581339402", "🔗 Ver Mapa")</f>
        <v>🔗 Ver Mapa</v>
      </c>
    </row>
    <row r="2786" spans="1:12" ht="43.5" x14ac:dyDescent="0.35">
      <c r="A2786" s="6" t="s">
        <v>8</v>
      </c>
      <c r="B2786" s="6" t="s">
        <v>16</v>
      </c>
      <c r="C2786" s="6" t="s">
        <v>398</v>
      </c>
      <c r="D2786" s="6" t="s">
        <v>35</v>
      </c>
      <c r="E2786" s="6" t="s">
        <v>312</v>
      </c>
      <c r="F2786" s="6" t="s">
        <v>313</v>
      </c>
      <c r="G2786" s="6" t="s">
        <v>392</v>
      </c>
      <c r="H2786" s="6" t="s">
        <v>399</v>
      </c>
      <c r="I2786" s="6" t="s">
        <v>63</v>
      </c>
      <c r="J2786" s="6">
        <v>18.087185302555</v>
      </c>
      <c r="K2786" s="6">
        <v>-96.165795652658005</v>
      </c>
      <c r="L2786" s="6" t="str">
        <f>HYPERLINK("https://maps.google.com/?q=18.0871853025551,-96.165795652658403", "🔗 Ver Mapa")</f>
        <v>🔗 Ver Mapa</v>
      </c>
    </row>
    <row r="2787" spans="1:12" ht="43.5" x14ac:dyDescent="0.35">
      <c r="A2787" s="5" t="s">
        <v>8</v>
      </c>
      <c r="B2787" s="5" t="s">
        <v>16</v>
      </c>
      <c r="C2787" s="5" t="s">
        <v>398</v>
      </c>
      <c r="D2787" s="5" t="s">
        <v>35</v>
      </c>
      <c r="E2787" s="5" t="s">
        <v>312</v>
      </c>
      <c r="F2787" s="5" t="s">
        <v>313</v>
      </c>
      <c r="G2787" s="5" t="s">
        <v>392</v>
      </c>
      <c r="H2787" s="5" t="s">
        <v>399</v>
      </c>
      <c r="I2787" s="5" t="s">
        <v>63</v>
      </c>
      <c r="J2787" s="5">
        <v>18.087911999999999</v>
      </c>
      <c r="K2787" s="5">
        <v>-96.170660999999996</v>
      </c>
      <c r="L2787" s="5" t="str">
        <f>HYPERLINK("https://maps.google.com/?q=18.087912,-96.170660999999996", "🔗 Ver Mapa")</f>
        <v>🔗 Ver Mapa</v>
      </c>
    </row>
    <row r="2788" spans="1:12" ht="43.5" x14ac:dyDescent="0.35">
      <c r="A2788" s="6" t="s">
        <v>8</v>
      </c>
      <c r="B2788" s="6" t="s">
        <v>16</v>
      </c>
      <c r="C2788" s="6" t="s">
        <v>398</v>
      </c>
      <c r="D2788" s="6" t="s">
        <v>35</v>
      </c>
      <c r="E2788" s="6" t="s">
        <v>312</v>
      </c>
      <c r="F2788" s="6" t="s">
        <v>313</v>
      </c>
      <c r="G2788" s="6" t="s">
        <v>392</v>
      </c>
      <c r="H2788" s="6" t="s">
        <v>399</v>
      </c>
      <c r="I2788" s="6" t="s">
        <v>63</v>
      </c>
      <c r="J2788" s="6">
        <v>18.088058506296999</v>
      </c>
      <c r="K2788" s="6">
        <v>-96.171595760748005</v>
      </c>
      <c r="L2788" s="6" t="str">
        <f>HYPERLINK("https://maps.google.com/?q=18.0880585062973,-96.171595760747906", "🔗 Ver Mapa")</f>
        <v>🔗 Ver Mapa</v>
      </c>
    </row>
    <row r="2789" spans="1:12" ht="43.5" x14ac:dyDescent="0.35">
      <c r="A2789" s="5" t="s">
        <v>8</v>
      </c>
      <c r="B2789" s="5" t="s">
        <v>16</v>
      </c>
      <c r="C2789" s="5" t="s">
        <v>398</v>
      </c>
      <c r="D2789" s="5" t="s">
        <v>35</v>
      </c>
      <c r="E2789" s="5" t="s">
        <v>312</v>
      </c>
      <c r="F2789" s="5" t="s">
        <v>313</v>
      </c>
      <c r="G2789" s="5" t="s">
        <v>392</v>
      </c>
      <c r="H2789" s="5" t="s">
        <v>399</v>
      </c>
      <c r="I2789" s="5" t="s">
        <v>63</v>
      </c>
      <c r="J2789" s="5">
        <v>18.088402369996</v>
      </c>
      <c r="K2789" s="5">
        <v>-96.167510177910003</v>
      </c>
      <c r="L2789" s="5" t="str">
        <f>HYPERLINK("https://maps.google.com/?q=18.0884023699957,-96.167510177909904", "🔗 Ver Mapa")</f>
        <v>🔗 Ver Mapa</v>
      </c>
    </row>
    <row r="2790" spans="1:12" ht="43.5" x14ac:dyDescent="0.35">
      <c r="A2790" s="6" t="s">
        <v>8</v>
      </c>
      <c r="B2790" s="6" t="s">
        <v>16</v>
      </c>
      <c r="C2790" s="6" t="s">
        <v>398</v>
      </c>
      <c r="D2790" s="6" t="s">
        <v>35</v>
      </c>
      <c r="E2790" s="6" t="s">
        <v>312</v>
      </c>
      <c r="F2790" s="6" t="s">
        <v>313</v>
      </c>
      <c r="G2790" s="6" t="s">
        <v>392</v>
      </c>
      <c r="H2790" s="6" t="s">
        <v>399</v>
      </c>
      <c r="I2790" s="6" t="s">
        <v>63</v>
      </c>
      <c r="J2790" s="6">
        <v>18.088641337925999</v>
      </c>
      <c r="K2790" s="6">
        <v>-96.172215504299999</v>
      </c>
      <c r="L2790" s="6" t="str">
        <f>HYPERLINK("https://maps.google.com/?q=18.0886413379256,-96.172215504299501", "🔗 Ver Mapa")</f>
        <v>🔗 Ver Mapa</v>
      </c>
    </row>
    <row r="2791" spans="1:12" ht="43.5" x14ac:dyDescent="0.35">
      <c r="A2791" s="5" t="s">
        <v>8</v>
      </c>
      <c r="B2791" s="5" t="s">
        <v>16</v>
      </c>
      <c r="C2791" s="5" t="s">
        <v>398</v>
      </c>
      <c r="D2791" s="5" t="s">
        <v>35</v>
      </c>
      <c r="E2791" s="5" t="s">
        <v>312</v>
      </c>
      <c r="F2791" s="5" t="s">
        <v>313</v>
      </c>
      <c r="G2791" s="5" t="s">
        <v>392</v>
      </c>
      <c r="H2791" s="5" t="s">
        <v>399</v>
      </c>
      <c r="I2791" s="5" t="s">
        <v>63</v>
      </c>
      <c r="J2791" s="5">
        <v>18.089190300685001</v>
      </c>
      <c r="K2791" s="5">
        <v>-96.172259379132996</v>
      </c>
      <c r="L2791" s="5" t="str">
        <f>HYPERLINK("https://maps.google.com/?q=18.0891903006854,-96.172259379133294", "🔗 Ver Mapa")</f>
        <v>🔗 Ver Mapa</v>
      </c>
    </row>
    <row r="2792" spans="1:12" ht="43.5" x14ac:dyDescent="0.35">
      <c r="A2792" s="6" t="s">
        <v>8</v>
      </c>
      <c r="B2792" s="6" t="s">
        <v>16</v>
      </c>
      <c r="C2792" s="6" t="s">
        <v>398</v>
      </c>
      <c r="D2792" s="6" t="s">
        <v>35</v>
      </c>
      <c r="E2792" s="6" t="s">
        <v>312</v>
      </c>
      <c r="F2792" s="6" t="s">
        <v>313</v>
      </c>
      <c r="G2792" s="6" t="s">
        <v>392</v>
      </c>
      <c r="H2792" s="6" t="s">
        <v>399</v>
      </c>
      <c r="I2792" s="6" t="s">
        <v>63</v>
      </c>
      <c r="J2792" s="6">
        <v>18.089679460587998</v>
      </c>
      <c r="K2792" s="6">
        <v>-96.172132912863006</v>
      </c>
      <c r="L2792" s="6" t="str">
        <f>HYPERLINK("https://maps.google.com/?q=18.0896794605884,-96.172132912862693", "🔗 Ver Mapa")</f>
        <v>🔗 Ver Mapa</v>
      </c>
    </row>
    <row r="2793" spans="1:12" ht="43.5" x14ac:dyDescent="0.35">
      <c r="A2793" s="5" t="s">
        <v>8</v>
      </c>
      <c r="B2793" s="5" t="s">
        <v>16</v>
      </c>
      <c r="C2793" s="5" t="s">
        <v>398</v>
      </c>
      <c r="D2793" s="5" t="s">
        <v>35</v>
      </c>
      <c r="E2793" s="5" t="s">
        <v>312</v>
      </c>
      <c r="F2793" s="5" t="s">
        <v>313</v>
      </c>
      <c r="G2793" s="5" t="s">
        <v>392</v>
      </c>
      <c r="H2793" s="5" t="s">
        <v>399</v>
      </c>
      <c r="I2793" s="5" t="s">
        <v>63</v>
      </c>
      <c r="J2793" s="5">
        <v>18.090199262668001</v>
      </c>
      <c r="K2793" s="5">
        <v>-96.168697813492003</v>
      </c>
      <c r="L2793" s="5" t="str">
        <f>HYPERLINK("https://maps.google.com/?q=18.0901992626679,-96.168697813491903", "🔗 Ver Mapa")</f>
        <v>🔗 Ver Mapa</v>
      </c>
    </row>
    <row r="2794" spans="1:12" ht="43.5" x14ac:dyDescent="0.35">
      <c r="A2794" s="6" t="s">
        <v>8</v>
      </c>
      <c r="B2794" s="6" t="s">
        <v>16</v>
      </c>
      <c r="C2794" s="6" t="s">
        <v>398</v>
      </c>
      <c r="D2794" s="6" t="s">
        <v>35</v>
      </c>
      <c r="E2794" s="6" t="s">
        <v>312</v>
      </c>
      <c r="F2794" s="6" t="s">
        <v>313</v>
      </c>
      <c r="G2794" s="6" t="s">
        <v>392</v>
      </c>
      <c r="H2794" s="6" t="s">
        <v>399</v>
      </c>
      <c r="I2794" s="6" t="s">
        <v>63</v>
      </c>
      <c r="J2794" s="6">
        <v>18.096092759775999</v>
      </c>
      <c r="K2794" s="6">
        <v>-96.163313457672004</v>
      </c>
      <c r="L2794" s="6" t="str">
        <f>HYPERLINK("https://maps.google.com/?q=18.0960927597755,-96.163313457672103", "🔗 Ver Mapa")</f>
        <v>🔗 Ver Mapa</v>
      </c>
    </row>
    <row r="2795" spans="1:12" ht="43.5" x14ac:dyDescent="0.35">
      <c r="A2795" s="5" t="s">
        <v>8</v>
      </c>
      <c r="B2795" s="5" t="s">
        <v>16</v>
      </c>
      <c r="C2795" s="5" t="s">
        <v>398</v>
      </c>
      <c r="D2795" s="5" t="s">
        <v>35</v>
      </c>
      <c r="E2795" s="5" t="s">
        <v>312</v>
      </c>
      <c r="F2795" s="5" t="s">
        <v>313</v>
      </c>
      <c r="G2795" s="5" t="s">
        <v>392</v>
      </c>
      <c r="H2795" s="5" t="s">
        <v>399</v>
      </c>
      <c r="I2795" s="5" t="s">
        <v>63</v>
      </c>
      <c r="J2795" s="5">
        <v>18.096190275190001</v>
      </c>
      <c r="K2795" s="5">
        <v>-96.163259787119998</v>
      </c>
      <c r="L2795" s="5" t="str">
        <f>HYPERLINK("https://maps.google.com/?q=18.0961902751902,-96.163259787119898", "🔗 Ver Mapa")</f>
        <v>🔗 Ver Mapa</v>
      </c>
    </row>
    <row r="2796" spans="1:12" ht="43.5" x14ac:dyDescent="0.35">
      <c r="A2796" s="6" t="s">
        <v>8</v>
      </c>
      <c r="B2796" s="6" t="s">
        <v>16</v>
      </c>
      <c r="C2796" s="6" t="s">
        <v>398</v>
      </c>
      <c r="D2796" s="6" t="s">
        <v>35</v>
      </c>
      <c r="E2796" s="6" t="s">
        <v>312</v>
      </c>
      <c r="F2796" s="6" t="s">
        <v>313</v>
      </c>
      <c r="G2796" s="6" t="s">
        <v>392</v>
      </c>
      <c r="H2796" s="6" t="s">
        <v>399</v>
      </c>
      <c r="I2796" s="6" t="s">
        <v>63</v>
      </c>
      <c r="J2796" s="6">
        <v>18.096244759809</v>
      </c>
      <c r="K2796" s="6">
        <v>-96.159885425759995</v>
      </c>
      <c r="L2796" s="6" t="str">
        <f>HYPERLINK("https://maps.google.com/?q=18.0962447598087,-96.159885425760294", "🔗 Ver Mapa")</f>
        <v>🔗 Ver Mapa</v>
      </c>
    </row>
    <row r="2797" spans="1:12" ht="43.5" x14ac:dyDescent="0.35">
      <c r="A2797" s="5" t="s">
        <v>8</v>
      </c>
      <c r="B2797" s="5" t="s">
        <v>16</v>
      </c>
      <c r="C2797" s="5" t="s">
        <v>398</v>
      </c>
      <c r="D2797" s="5" t="s">
        <v>35</v>
      </c>
      <c r="E2797" s="5" t="s">
        <v>312</v>
      </c>
      <c r="F2797" s="5" t="s">
        <v>313</v>
      </c>
      <c r="G2797" s="5" t="s">
        <v>392</v>
      </c>
      <c r="H2797" s="5" t="s">
        <v>399</v>
      </c>
      <c r="I2797" s="5" t="s">
        <v>63</v>
      </c>
      <c r="J2797" s="5">
        <v>18.096355668992999</v>
      </c>
      <c r="K2797" s="5">
        <v>-96.163213963342997</v>
      </c>
      <c r="L2797" s="5" t="str">
        <f>HYPERLINK("https://maps.google.com/?q=18.0963556689925,-96.163213963343495", "🔗 Ver Mapa")</f>
        <v>🔗 Ver Mapa</v>
      </c>
    </row>
    <row r="2798" spans="1:12" ht="43.5" x14ac:dyDescent="0.35">
      <c r="A2798" s="6" t="s">
        <v>8</v>
      </c>
      <c r="B2798" s="6" t="s">
        <v>16</v>
      </c>
      <c r="C2798" s="6" t="s">
        <v>398</v>
      </c>
      <c r="D2798" s="6" t="s">
        <v>35</v>
      </c>
      <c r="E2798" s="6" t="s">
        <v>312</v>
      </c>
      <c r="F2798" s="6" t="s">
        <v>313</v>
      </c>
      <c r="G2798" s="6" t="s">
        <v>392</v>
      </c>
      <c r="H2798" s="6" t="s">
        <v>399</v>
      </c>
      <c r="I2798" s="6" t="s">
        <v>63</v>
      </c>
      <c r="J2798" s="6">
        <v>18.096789619607001</v>
      </c>
      <c r="K2798" s="6">
        <v>-96.161919038028998</v>
      </c>
      <c r="L2798" s="6" t="str">
        <f>HYPERLINK("https://maps.google.com/?q=18.0967896196071,-96.161919038028799", "🔗 Ver Mapa")</f>
        <v>🔗 Ver Mapa</v>
      </c>
    </row>
    <row r="2799" spans="1:12" ht="43.5" x14ac:dyDescent="0.35">
      <c r="A2799" s="5" t="s">
        <v>8</v>
      </c>
      <c r="B2799" s="5" t="s">
        <v>16</v>
      </c>
      <c r="C2799" s="5" t="s">
        <v>398</v>
      </c>
      <c r="D2799" s="5" t="s">
        <v>35</v>
      </c>
      <c r="E2799" s="5" t="s">
        <v>312</v>
      </c>
      <c r="F2799" s="5" t="s">
        <v>313</v>
      </c>
      <c r="G2799" s="5" t="s">
        <v>392</v>
      </c>
      <c r="H2799" s="5" t="s">
        <v>399</v>
      </c>
      <c r="I2799" s="5" t="s">
        <v>63</v>
      </c>
      <c r="J2799" s="5">
        <v>18.096851587755001</v>
      </c>
      <c r="K2799" s="5">
        <v>-96.162917961971004</v>
      </c>
      <c r="L2799" s="5" t="str">
        <f>HYPERLINK("https://maps.google.com/?q=18.0968515877555,-96.162917961971303", "🔗 Ver Mapa")</f>
        <v>🔗 Ver Mapa</v>
      </c>
    </row>
    <row r="2800" spans="1:12" ht="43.5" x14ac:dyDescent="0.35">
      <c r="A2800" s="6" t="s">
        <v>8</v>
      </c>
      <c r="B2800" s="6" t="s">
        <v>16</v>
      </c>
      <c r="C2800" s="6" t="s">
        <v>398</v>
      </c>
      <c r="D2800" s="6" t="s">
        <v>35</v>
      </c>
      <c r="E2800" s="6" t="s">
        <v>312</v>
      </c>
      <c r="F2800" s="6" t="s">
        <v>313</v>
      </c>
      <c r="G2800" s="6" t="s">
        <v>392</v>
      </c>
      <c r="H2800" s="6" t="s">
        <v>399</v>
      </c>
      <c r="I2800" s="6" t="s">
        <v>63</v>
      </c>
      <c r="J2800" s="6">
        <v>18.096994178225</v>
      </c>
      <c r="K2800" s="6">
        <v>-96.160493050791999</v>
      </c>
      <c r="L2800" s="6" t="str">
        <f>HYPERLINK("https://maps.google.com/?q=18.096994178225,-96.160493050792397", "🔗 Ver Mapa")</f>
        <v>🔗 Ver Mapa</v>
      </c>
    </row>
    <row r="2801" spans="1:12" ht="43.5" x14ac:dyDescent="0.35">
      <c r="A2801" s="5" t="s">
        <v>8</v>
      </c>
      <c r="B2801" s="5" t="s">
        <v>16</v>
      </c>
      <c r="C2801" s="5" t="s">
        <v>398</v>
      </c>
      <c r="D2801" s="5" t="s">
        <v>35</v>
      </c>
      <c r="E2801" s="5" t="s">
        <v>312</v>
      </c>
      <c r="F2801" s="5" t="s">
        <v>313</v>
      </c>
      <c r="G2801" s="5" t="s">
        <v>392</v>
      </c>
      <c r="H2801" s="5" t="s">
        <v>399</v>
      </c>
      <c r="I2801" s="5" t="s">
        <v>63</v>
      </c>
      <c r="J2801" s="5">
        <v>18.097173638594999</v>
      </c>
      <c r="K2801" s="5">
        <v>-96.163112023314</v>
      </c>
      <c r="L2801" s="5" t="str">
        <f>HYPERLINK("https://maps.google.com/?q=18.0971736385945,-96.163112023313602", "🔗 Ver Mapa")</f>
        <v>🔗 Ver Mapa</v>
      </c>
    </row>
    <row r="2802" spans="1:12" ht="43.5" x14ac:dyDescent="0.35">
      <c r="A2802" s="6" t="s">
        <v>8</v>
      </c>
      <c r="B2802" s="6" t="s">
        <v>16</v>
      </c>
      <c r="C2802" s="6" t="s">
        <v>398</v>
      </c>
      <c r="D2802" s="6" t="s">
        <v>35</v>
      </c>
      <c r="E2802" s="6" t="s">
        <v>312</v>
      </c>
      <c r="F2802" s="6" t="s">
        <v>313</v>
      </c>
      <c r="G2802" s="6" t="s">
        <v>392</v>
      </c>
      <c r="H2802" s="6" t="s">
        <v>399</v>
      </c>
      <c r="I2802" s="6" t="s">
        <v>63</v>
      </c>
      <c r="J2802" s="6">
        <v>18.097456201604</v>
      </c>
      <c r="K2802" s="6">
        <v>-96.160640505177994</v>
      </c>
      <c r="L2802" s="6" t="str">
        <f>HYPERLINK("https://maps.google.com/?q=18.0974562016041,-96.160640505177795", "🔗 Ver Mapa")</f>
        <v>🔗 Ver Mapa</v>
      </c>
    </row>
    <row r="2803" spans="1:12" ht="43.5" x14ac:dyDescent="0.35">
      <c r="A2803" s="5" t="s">
        <v>8</v>
      </c>
      <c r="B2803" s="5" t="s">
        <v>16</v>
      </c>
      <c r="C2803" s="5" t="s">
        <v>398</v>
      </c>
      <c r="D2803" s="5" t="s">
        <v>35</v>
      </c>
      <c r="E2803" s="5" t="s">
        <v>312</v>
      </c>
      <c r="F2803" s="5" t="s">
        <v>313</v>
      </c>
      <c r="G2803" s="5" t="s">
        <v>392</v>
      </c>
      <c r="H2803" s="5" t="s">
        <v>399</v>
      </c>
      <c r="I2803" s="5" t="s">
        <v>63</v>
      </c>
      <c r="J2803" s="5">
        <v>18.097658859174</v>
      </c>
      <c r="K2803" s="5">
        <v>-96.160811679822999</v>
      </c>
      <c r="L2803" s="5" t="str">
        <f>HYPERLINK("https://maps.google.com/?q=18.0976588591736,-96.160811679822601", "🔗 Ver Mapa")</f>
        <v>🔗 Ver Mapa</v>
      </c>
    </row>
    <row r="2804" spans="1:12" ht="43.5" x14ac:dyDescent="0.35">
      <c r="A2804" s="6" t="s">
        <v>8</v>
      </c>
      <c r="B2804" s="6" t="s">
        <v>16</v>
      </c>
      <c r="C2804" s="6" t="s">
        <v>398</v>
      </c>
      <c r="D2804" s="6" t="s">
        <v>35</v>
      </c>
      <c r="E2804" s="6" t="s">
        <v>312</v>
      </c>
      <c r="F2804" s="6" t="s">
        <v>313</v>
      </c>
      <c r="G2804" s="6" t="s">
        <v>392</v>
      </c>
      <c r="H2804" s="6" t="s">
        <v>399</v>
      </c>
      <c r="I2804" s="6" t="s">
        <v>63</v>
      </c>
      <c r="J2804" s="6">
        <v>18.097708616990001</v>
      </c>
      <c r="K2804" s="6">
        <v>-96.160872144991998</v>
      </c>
      <c r="L2804" s="6" t="str">
        <f>HYPERLINK("https://maps.google.com/?q=18.0977086169904,-96.1608721449916", "🔗 Ver Mapa")</f>
        <v>🔗 Ver Mapa</v>
      </c>
    </row>
    <row r="2805" spans="1:12" ht="43.5" x14ac:dyDescent="0.35">
      <c r="A2805" s="5" t="s">
        <v>8</v>
      </c>
      <c r="B2805" s="5" t="s">
        <v>16</v>
      </c>
      <c r="C2805" s="5" t="s">
        <v>398</v>
      </c>
      <c r="D2805" s="5" t="s">
        <v>35</v>
      </c>
      <c r="E2805" s="5" t="s">
        <v>312</v>
      </c>
      <c r="F2805" s="5" t="s">
        <v>313</v>
      </c>
      <c r="G2805" s="5" t="s">
        <v>392</v>
      </c>
      <c r="H2805" s="5" t="s">
        <v>399</v>
      </c>
      <c r="I2805" s="5" t="s">
        <v>63</v>
      </c>
      <c r="J2805" s="5">
        <v>18.097988971852001</v>
      </c>
      <c r="K2805" s="5">
        <v>-96.162522023465996</v>
      </c>
      <c r="L2805" s="5" t="str">
        <f>HYPERLINK("https://maps.google.com/?q=18.0979889718521,-96.162522023465698", "🔗 Ver Mapa")</f>
        <v>🔗 Ver Mapa</v>
      </c>
    </row>
    <row r="2806" spans="1:12" ht="43.5" x14ac:dyDescent="0.35">
      <c r="A2806" s="6" t="s">
        <v>8</v>
      </c>
      <c r="B2806" s="6" t="s">
        <v>16</v>
      </c>
      <c r="C2806" s="6" t="s">
        <v>398</v>
      </c>
      <c r="D2806" s="6" t="s">
        <v>35</v>
      </c>
      <c r="E2806" s="6" t="s">
        <v>312</v>
      </c>
      <c r="F2806" s="6" t="s">
        <v>313</v>
      </c>
      <c r="G2806" s="6" t="s">
        <v>392</v>
      </c>
      <c r="H2806" s="6" t="s">
        <v>399</v>
      </c>
      <c r="I2806" s="6" t="s">
        <v>63</v>
      </c>
      <c r="J2806" s="6">
        <v>18.098050000000001</v>
      </c>
      <c r="K2806" s="6">
        <v>-96.161045999999999</v>
      </c>
      <c r="L2806" s="6" t="str">
        <f>HYPERLINK("https://maps.google.com/?q=18.09805,-96.161045999999999", "🔗 Ver Mapa")</f>
        <v>🔗 Ver Mapa</v>
      </c>
    </row>
    <row r="2807" spans="1:12" ht="43.5" x14ac:dyDescent="0.35">
      <c r="A2807" s="5" t="s">
        <v>8</v>
      </c>
      <c r="B2807" s="5" t="s">
        <v>16</v>
      </c>
      <c r="C2807" s="5" t="s">
        <v>398</v>
      </c>
      <c r="D2807" s="5" t="s">
        <v>35</v>
      </c>
      <c r="E2807" s="5" t="s">
        <v>312</v>
      </c>
      <c r="F2807" s="5" t="s">
        <v>313</v>
      </c>
      <c r="G2807" s="5" t="s">
        <v>392</v>
      </c>
      <c r="H2807" s="5" t="s">
        <v>399</v>
      </c>
      <c r="I2807" s="5" t="s">
        <v>63</v>
      </c>
      <c r="J2807" s="5">
        <v>18.098565125614002</v>
      </c>
      <c r="K2807" s="5">
        <v>-96.160620965030006</v>
      </c>
      <c r="L2807" s="5" t="str">
        <f>HYPERLINK("https://maps.google.com/?q=18.0985651256139,-96.160620965029807", "🔗 Ver Mapa")</f>
        <v>🔗 Ver Mapa</v>
      </c>
    </row>
    <row r="2808" spans="1:12" ht="43.5" x14ac:dyDescent="0.35">
      <c r="A2808" s="6" t="s">
        <v>8</v>
      </c>
      <c r="B2808" s="6" t="s">
        <v>16</v>
      </c>
      <c r="C2808" s="6" t="s">
        <v>398</v>
      </c>
      <c r="D2808" s="6" t="s">
        <v>35</v>
      </c>
      <c r="E2808" s="6" t="s">
        <v>312</v>
      </c>
      <c r="F2808" s="6" t="s">
        <v>313</v>
      </c>
      <c r="G2808" s="6" t="s">
        <v>392</v>
      </c>
      <c r="H2808" s="6" t="s">
        <v>399</v>
      </c>
      <c r="I2808" s="6" t="s">
        <v>63</v>
      </c>
      <c r="J2808" s="6">
        <v>18.099089363185001</v>
      </c>
      <c r="K2808" s="6">
        <v>-96.156827033289005</v>
      </c>
      <c r="L2808" s="6" t="str">
        <f>HYPERLINK("https://maps.google.com/?q=18.0990893631846,-96.156827033288906", "🔗 Ver Mapa")</f>
        <v>🔗 Ver Mapa</v>
      </c>
    </row>
    <row r="2809" spans="1:12" ht="43.5" x14ac:dyDescent="0.35">
      <c r="A2809" s="5" t="s">
        <v>8</v>
      </c>
      <c r="B2809" s="5" t="s">
        <v>16</v>
      </c>
      <c r="C2809" s="5" t="s">
        <v>398</v>
      </c>
      <c r="D2809" s="5" t="s">
        <v>35</v>
      </c>
      <c r="E2809" s="5" t="s">
        <v>312</v>
      </c>
      <c r="F2809" s="5" t="s">
        <v>313</v>
      </c>
      <c r="G2809" s="5" t="s">
        <v>392</v>
      </c>
      <c r="H2809" s="5" t="s">
        <v>399</v>
      </c>
      <c r="I2809" s="5" t="s">
        <v>63</v>
      </c>
      <c r="J2809" s="5">
        <v>18.099220101838998</v>
      </c>
      <c r="K2809" s="5">
        <v>-96.159635658894999</v>
      </c>
      <c r="L2809" s="5" t="str">
        <f>HYPERLINK("https://maps.google.com/?q=18.0992201018386,-96.159635658895496", "🔗 Ver Mapa")</f>
        <v>🔗 Ver Mapa</v>
      </c>
    </row>
    <row r="2810" spans="1:12" ht="43.5" x14ac:dyDescent="0.35">
      <c r="A2810" s="6" t="s">
        <v>8</v>
      </c>
      <c r="B2810" s="6" t="s">
        <v>16</v>
      </c>
      <c r="C2810" s="6" t="s">
        <v>398</v>
      </c>
      <c r="D2810" s="6" t="s">
        <v>35</v>
      </c>
      <c r="E2810" s="6" t="s">
        <v>312</v>
      </c>
      <c r="F2810" s="6" t="s">
        <v>313</v>
      </c>
      <c r="G2810" s="6" t="s">
        <v>392</v>
      </c>
      <c r="H2810" s="6" t="s">
        <v>399</v>
      </c>
      <c r="I2810" s="6" t="s">
        <v>63</v>
      </c>
      <c r="J2810" s="6">
        <v>18.099220364594999</v>
      </c>
      <c r="K2810" s="6">
        <v>-96.158818743149993</v>
      </c>
      <c r="L2810" s="6" t="str">
        <f>HYPERLINK("https://maps.google.com/?q=18.099220364595,-96.158818743149993", "🔗 Ver Mapa")</f>
        <v>🔗 Ver Mapa</v>
      </c>
    </row>
    <row r="2811" spans="1:12" ht="43.5" x14ac:dyDescent="0.35">
      <c r="A2811" s="5" t="s">
        <v>8</v>
      </c>
      <c r="B2811" s="5" t="s">
        <v>16</v>
      </c>
      <c r="C2811" s="5" t="s">
        <v>398</v>
      </c>
      <c r="D2811" s="5" t="s">
        <v>35</v>
      </c>
      <c r="E2811" s="5" t="s">
        <v>312</v>
      </c>
      <c r="F2811" s="5" t="s">
        <v>313</v>
      </c>
      <c r="G2811" s="5" t="s">
        <v>392</v>
      </c>
      <c r="H2811" s="5" t="s">
        <v>399</v>
      </c>
      <c r="I2811" s="5" t="s">
        <v>63</v>
      </c>
      <c r="J2811" s="5">
        <v>18.099259463515001</v>
      </c>
      <c r="K2811" s="5">
        <v>-96.158449953372994</v>
      </c>
      <c r="L2811" s="5" t="str">
        <f>HYPERLINK("https://maps.google.com/?q=18.099259463515,-96.158449953372994", "🔗 Ver Mapa")</f>
        <v>🔗 Ver Mapa</v>
      </c>
    </row>
    <row r="2812" spans="1:12" ht="43.5" x14ac:dyDescent="0.35">
      <c r="A2812" s="6" t="s">
        <v>8</v>
      </c>
      <c r="B2812" s="6" t="s">
        <v>16</v>
      </c>
      <c r="C2812" s="6" t="s">
        <v>398</v>
      </c>
      <c r="D2812" s="6" t="s">
        <v>35</v>
      </c>
      <c r="E2812" s="6" t="s">
        <v>312</v>
      </c>
      <c r="F2812" s="6" t="s">
        <v>313</v>
      </c>
      <c r="G2812" s="6" t="s">
        <v>392</v>
      </c>
      <c r="H2812" s="6" t="s">
        <v>399</v>
      </c>
      <c r="I2812" s="6" t="s">
        <v>63</v>
      </c>
      <c r="J2812" s="6">
        <v>18.099408958459001</v>
      </c>
      <c r="K2812" s="6">
        <v>-96.159750588955006</v>
      </c>
      <c r="L2812" s="6" t="str">
        <f>HYPERLINK("https://maps.google.com/?q=18.0994089584594,-96.159750588955006", "🔗 Ver Mapa")</f>
        <v>🔗 Ver Mapa</v>
      </c>
    </row>
    <row r="2813" spans="1:12" ht="43.5" x14ac:dyDescent="0.35">
      <c r="A2813" s="5" t="s">
        <v>8</v>
      </c>
      <c r="B2813" s="5" t="s">
        <v>16</v>
      </c>
      <c r="C2813" s="5" t="s">
        <v>398</v>
      </c>
      <c r="D2813" s="5" t="s">
        <v>35</v>
      </c>
      <c r="E2813" s="5" t="s">
        <v>312</v>
      </c>
      <c r="F2813" s="5" t="s">
        <v>313</v>
      </c>
      <c r="G2813" s="5" t="s">
        <v>392</v>
      </c>
      <c r="H2813" s="5" t="s">
        <v>399</v>
      </c>
      <c r="I2813" s="5" t="s">
        <v>63</v>
      </c>
      <c r="J2813" s="5">
        <v>18.099514293729001</v>
      </c>
      <c r="K2813" s="5">
        <v>-96.161387917929005</v>
      </c>
      <c r="L2813" s="5" t="str">
        <f>HYPERLINK("https://maps.google.com/?q=18.0995142937293,-96.161387917929105", "🔗 Ver Mapa")</f>
        <v>🔗 Ver Mapa</v>
      </c>
    </row>
    <row r="2814" spans="1:12" ht="43.5" x14ac:dyDescent="0.35">
      <c r="A2814" s="6" t="s">
        <v>8</v>
      </c>
      <c r="B2814" s="6" t="s">
        <v>16</v>
      </c>
      <c r="C2814" s="6" t="s">
        <v>398</v>
      </c>
      <c r="D2814" s="6" t="s">
        <v>35</v>
      </c>
      <c r="E2814" s="6" t="s">
        <v>312</v>
      </c>
      <c r="F2814" s="6" t="s">
        <v>313</v>
      </c>
      <c r="G2814" s="6" t="s">
        <v>392</v>
      </c>
      <c r="H2814" s="6" t="s">
        <v>399</v>
      </c>
      <c r="I2814" s="6" t="s">
        <v>63</v>
      </c>
      <c r="J2814" s="6">
        <v>18.099860474964</v>
      </c>
      <c r="K2814" s="6">
        <v>-96.161498671510998</v>
      </c>
      <c r="L2814" s="6" t="str">
        <f>HYPERLINK("https://maps.google.com/?q=18.0998604749638,-96.161498671511097", "🔗 Ver Mapa")</f>
        <v>🔗 Ver Mapa</v>
      </c>
    </row>
    <row r="2815" spans="1:12" ht="43.5" x14ac:dyDescent="0.35">
      <c r="A2815" s="5" t="s">
        <v>8</v>
      </c>
      <c r="B2815" s="5" t="s">
        <v>16</v>
      </c>
      <c r="C2815" s="5" t="s">
        <v>400</v>
      </c>
      <c r="D2815" s="5" t="s">
        <v>35</v>
      </c>
      <c r="E2815" s="5" t="s">
        <v>128</v>
      </c>
      <c r="F2815" s="5" t="s">
        <v>129</v>
      </c>
      <c r="G2815" s="5" t="s">
        <v>401</v>
      </c>
      <c r="H2815" s="5" t="s">
        <v>402</v>
      </c>
      <c r="I2815" s="5" t="s">
        <v>63</v>
      </c>
      <c r="J2815" s="5">
        <v>17.012556216021</v>
      </c>
      <c r="K2815" s="5">
        <v>-97.500288865998002</v>
      </c>
      <c r="L2815" s="5" t="str">
        <f>HYPERLINK("https://maps.google.com/?q=17.0125562160214,-97.500288865998201", "🔗 Ver Mapa")</f>
        <v>🔗 Ver Mapa</v>
      </c>
    </row>
    <row r="2816" spans="1:12" ht="43.5" x14ac:dyDescent="0.35">
      <c r="A2816" s="6" t="s">
        <v>8</v>
      </c>
      <c r="B2816" s="6" t="s">
        <v>16</v>
      </c>
      <c r="C2816" s="6" t="s">
        <v>400</v>
      </c>
      <c r="D2816" s="6" t="s">
        <v>35</v>
      </c>
      <c r="E2816" s="6" t="s">
        <v>128</v>
      </c>
      <c r="F2816" s="6" t="s">
        <v>129</v>
      </c>
      <c r="G2816" s="6" t="s">
        <v>401</v>
      </c>
      <c r="H2816" s="6" t="s">
        <v>402</v>
      </c>
      <c r="I2816" s="6" t="s">
        <v>63</v>
      </c>
      <c r="J2816" s="6">
        <v>17.012603743363002</v>
      </c>
      <c r="K2816" s="6">
        <v>-97.500992953373</v>
      </c>
      <c r="L2816" s="6" t="str">
        <f>HYPERLINK("https://maps.google.com/?q=17.0126037433627,-97.500992953372901", "🔗 Ver Mapa")</f>
        <v>🔗 Ver Mapa</v>
      </c>
    </row>
    <row r="2817" spans="1:12" ht="43.5" x14ac:dyDescent="0.35">
      <c r="A2817" s="5" t="s">
        <v>8</v>
      </c>
      <c r="B2817" s="5" t="s">
        <v>16</v>
      </c>
      <c r="C2817" s="5" t="s">
        <v>400</v>
      </c>
      <c r="D2817" s="5" t="s">
        <v>35</v>
      </c>
      <c r="E2817" s="5" t="s">
        <v>128</v>
      </c>
      <c r="F2817" s="5" t="s">
        <v>129</v>
      </c>
      <c r="G2817" s="5" t="s">
        <v>401</v>
      </c>
      <c r="H2817" s="5" t="s">
        <v>402</v>
      </c>
      <c r="I2817" s="5" t="s">
        <v>63</v>
      </c>
      <c r="J2817" s="5">
        <v>17.012908873044001</v>
      </c>
      <c r="K2817" s="5">
        <v>-97.500471976686001</v>
      </c>
      <c r="L2817" s="5" t="str">
        <f>HYPERLINK("https://maps.google.com/?q=17.0129088730444,-97.500471976686498", "🔗 Ver Mapa")</f>
        <v>🔗 Ver Mapa</v>
      </c>
    </row>
    <row r="2818" spans="1:12" ht="43.5" x14ac:dyDescent="0.35">
      <c r="A2818" s="6" t="s">
        <v>8</v>
      </c>
      <c r="B2818" s="6" t="s">
        <v>16</v>
      </c>
      <c r="C2818" s="6" t="s">
        <v>400</v>
      </c>
      <c r="D2818" s="6" t="s">
        <v>35</v>
      </c>
      <c r="E2818" s="6" t="s">
        <v>128</v>
      </c>
      <c r="F2818" s="6" t="s">
        <v>129</v>
      </c>
      <c r="G2818" s="6" t="s">
        <v>401</v>
      </c>
      <c r="H2818" s="6" t="s">
        <v>402</v>
      </c>
      <c r="I2818" s="6" t="s">
        <v>63</v>
      </c>
      <c r="J2818" s="6">
        <v>17.013952590664001</v>
      </c>
      <c r="K2818" s="6">
        <v>-97.500661271164006</v>
      </c>
      <c r="L2818" s="6" t="str">
        <f>HYPERLINK("https://maps.google.com/?q=17.013952590664,-97.500661271163906", "🔗 Ver Mapa")</f>
        <v>🔗 Ver Mapa</v>
      </c>
    </row>
    <row r="2819" spans="1:12" ht="43.5" x14ac:dyDescent="0.35">
      <c r="A2819" s="5" t="s">
        <v>8</v>
      </c>
      <c r="B2819" s="5" t="s">
        <v>16</v>
      </c>
      <c r="C2819" s="5" t="s">
        <v>400</v>
      </c>
      <c r="D2819" s="5" t="s">
        <v>35</v>
      </c>
      <c r="E2819" s="5" t="s">
        <v>128</v>
      </c>
      <c r="F2819" s="5" t="s">
        <v>129</v>
      </c>
      <c r="G2819" s="5" t="s">
        <v>401</v>
      </c>
      <c r="H2819" s="5" t="s">
        <v>402</v>
      </c>
      <c r="I2819" s="5" t="s">
        <v>63</v>
      </c>
      <c r="J2819" s="5">
        <v>17.01408702562</v>
      </c>
      <c r="K2819" s="5">
        <v>-97.499491311678</v>
      </c>
      <c r="L2819" s="5" t="str">
        <f>HYPERLINK("https://maps.google.com/?q=17.0140870256199,-97.499491311678298", "🔗 Ver Mapa")</f>
        <v>🔗 Ver Mapa</v>
      </c>
    </row>
    <row r="2820" spans="1:12" ht="43.5" x14ac:dyDescent="0.35">
      <c r="A2820" s="6" t="s">
        <v>8</v>
      </c>
      <c r="B2820" s="6" t="s">
        <v>16</v>
      </c>
      <c r="C2820" s="6" t="s">
        <v>400</v>
      </c>
      <c r="D2820" s="6" t="s">
        <v>35</v>
      </c>
      <c r="E2820" s="6" t="s">
        <v>128</v>
      </c>
      <c r="F2820" s="6" t="s">
        <v>129</v>
      </c>
      <c r="G2820" s="6" t="s">
        <v>401</v>
      </c>
      <c r="H2820" s="6" t="s">
        <v>402</v>
      </c>
      <c r="I2820" s="6" t="s">
        <v>63</v>
      </c>
      <c r="J2820" s="6">
        <v>17.014128558298001</v>
      </c>
      <c r="K2820" s="6">
        <v>-97.500530860118999</v>
      </c>
      <c r="L2820" s="6" t="str">
        <f>HYPERLINK("https://maps.google.com/?q=17.0141285582983,-97.500530860118701", "🔗 Ver Mapa")</f>
        <v>🔗 Ver Mapa</v>
      </c>
    </row>
    <row r="2821" spans="1:12" ht="43.5" x14ac:dyDescent="0.35">
      <c r="A2821" s="5" t="s">
        <v>8</v>
      </c>
      <c r="B2821" s="5" t="s">
        <v>16</v>
      </c>
      <c r="C2821" s="5" t="s">
        <v>400</v>
      </c>
      <c r="D2821" s="5" t="s">
        <v>35</v>
      </c>
      <c r="E2821" s="5" t="s">
        <v>128</v>
      </c>
      <c r="F2821" s="5" t="s">
        <v>129</v>
      </c>
      <c r="G2821" s="5" t="s">
        <v>401</v>
      </c>
      <c r="H2821" s="5" t="s">
        <v>402</v>
      </c>
      <c r="I2821" s="5" t="s">
        <v>63</v>
      </c>
      <c r="J2821" s="5">
        <v>17.014391719553</v>
      </c>
      <c r="K2821" s="5">
        <v>-97.499789799455996</v>
      </c>
      <c r="L2821" s="5" t="str">
        <f>HYPERLINK("https://maps.google.com/?q=17.0143917195528,-97.499789799455897", "🔗 Ver Mapa")</f>
        <v>🔗 Ver Mapa</v>
      </c>
    </row>
    <row r="2822" spans="1:12" ht="43.5" x14ac:dyDescent="0.35">
      <c r="A2822" s="6" t="s">
        <v>8</v>
      </c>
      <c r="B2822" s="6" t="s">
        <v>16</v>
      </c>
      <c r="C2822" s="6" t="s">
        <v>400</v>
      </c>
      <c r="D2822" s="6" t="s">
        <v>35</v>
      </c>
      <c r="E2822" s="6" t="s">
        <v>128</v>
      </c>
      <c r="F2822" s="6" t="s">
        <v>129</v>
      </c>
      <c r="G2822" s="6" t="s">
        <v>401</v>
      </c>
      <c r="H2822" s="6" t="s">
        <v>402</v>
      </c>
      <c r="I2822" s="6" t="s">
        <v>63</v>
      </c>
      <c r="J2822" s="6">
        <v>17.014526183122001</v>
      </c>
      <c r="K2822" s="6">
        <v>-97.500801411045003</v>
      </c>
      <c r="L2822" s="6" t="str">
        <f>HYPERLINK("https://maps.google.com/?q=17.0145261831219,-97.500801411045103", "🔗 Ver Mapa")</f>
        <v>🔗 Ver Mapa</v>
      </c>
    </row>
    <row r="2823" spans="1:12" ht="43.5" x14ac:dyDescent="0.35">
      <c r="A2823" s="5" t="s">
        <v>8</v>
      </c>
      <c r="B2823" s="5" t="s">
        <v>16</v>
      </c>
      <c r="C2823" s="5" t="s">
        <v>400</v>
      </c>
      <c r="D2823" s="5" t="s">
        <v>35</v>
      </c>
      <c r="E2823" s="5" t="s">
        <v>128</v>
      </c>
      <c r="F2823" s="5" t="s">
        <v>129</v>
      </c>
      <c r="G2823" s="5" t="s">
        <v>401</v>
      </c>
      <c r="H2823" s="5" t="s">
        <v>402</v>
      </c>
      <c r="I2823" s="5" t="s">
        <v>63</v>
      </c>
      <c r="J2823" s="5">
        <v>17.014687002710001</v>
      </c>
      <c r="K2823" s="5">
        <v>-97.500872341104994</v>
      </c>
      <c r="L2823" s="5" t="str">
        <f>HYPERLINK("https://maps.google.com/?q=17.0146870027095,-97.500872341104596", "🔗 Ver Mapa")</f>
        <v>🔗 Ver Mapa</v>
      </c>
    </row>
    <row r="2824" spans="1:12" ht="43.5" x14ac:dyDescent="0.35">
      <c r="A2824" s="6" t="s">
        <v>8</v>
      </c>
      <c r="B2824" s="6" t="s">
        <v>16</v>
      </c>
      <c r="C2824" s="6" t="s">
        <v>400</v>
      </c>
      <c r="D2824" s="6" t="s">
        <v>35</v>
      </c>
      <c r="E2824" s="6" t="s">
        <v>128</v>
      </c>
      <c r="F2824" s="6" t="s">
        <v>129</v>
      </c>
      <c r="G2824" s="6" t="s">
        <v>401</v>
      </c>
      <c r="H2824" s="6" t="s">
        <v>402</v>
      </c>
      <c r="I2824" s="6" t="s">
        <v>63</v>
      </c>
      <c r="J2824" s="6">
        <v>17.014873418996</v>
      </c>
      <c r="K2824" s="6">
        <v>-97.499169808423005</v>
      </c>
      <c r="L2824" s="6" t="str">
        <f>HYPERLINK("https://maps.google.com/?q=17.0148734189963,-97.499169808422906", "🔗 Ver Mapa")</f>
        <v>🔗 Ver Mapa</v>
      </c>
    </row>
    <row r="2825" spans="1:12" ht="43.5" x14ac:dyDescent="0.35">
      <c r="A2825" s="5" t="s">
        <v>8</v>
      </c>
      <c r="B2825" s="5" t="s">
        <v>16</v>
      </c>
      <c r="C2825" s="5" t="s">
        <v>400</v>
      </c>
      <c r="D2825" s="5" t="s">
        <v>35</v>
      </c>
      <c r="E2825" s="5" t="s">
        <v>128</v>
      </c>
      <c r="F2825" s="5" t="s">
        <v>129</v>
      </c>
      <c r="G2825" s="5" t="s">
        <v>401</v>
      </c>
      <c r="H2825" s="5" t="s">
        <v>402</v>
      </c>
      <c r="I2825" s="5" t="s">
        <v>63</v>
      </c>
      <c r="J2825" s="5">
        <v>17.014977285112</v>
      </c>
      <c r="K2825" s="5">
        <v>-97.499072317791004</v>
      </c>
      <c r="L2825" s="5" t="str">
        <f>HYPERLINK("https://maps.google.com/?q=17.0149772851117,-97.499072317790905", "🔗 Ver Mapa")</f>
        <v>🔗 Ver Mapa</v>
      </c>
    </row>
    <row r="2826" spans="1:12" ht="43.5" x14ac:dyDescent="0.35">
      <c r="A2826" s="6" t="s">
        <v>8</v>
      </c>
      <c r="B2826" s="6" t="s">
        <v>16</v>
      </c>
      <c r="C2826" s="6" t="s">
        <v>400</v>
      </c>
      <c r="D2826" s="6" t="s">
        <v>35</v>
      </c>
      <c r="E2826" s="6" t="s">
        <v>128</v>
      </c>
      <c r="F2826" s="6" t="s">
        <v>129</v>
      </c>
      <c r="G2826" s="6" t="s">
        <v>401</v>
      </c>
      <c r="H2826" s="6" t="s">
        <v>402</v>
      </c>
      <c r="I2826" s="6" t="s">
        <v>63</v>
      </c>
      <c r="J2826" s="6">
        <v>17.014998803165</v>
      </c>
      <c r="K2826" s="6">
        <v>-97.501230030561999</v>
      </c>
      <c r="L2826" s="6" t="str">
        <f>HYPERLINK("https://maps.google.com/?q=17.0149988031653,-97.501230030561999", "🔗 Ver Mapa")</f>
        <v>🔗 Ver Mapa</v>
      </c>
    </row>
    <row r="2827" spans="1:12" ht="43.5" x14ac:dyDescent="0.35">
      <c r="A2827" s="5" t="s">
        <v>8</v>
      </c>
      <c r="B2827" s="5" t="s">
        <v>16</v>
      </c>
      <c r="C2827" s="5" t="s">
        <v>400</v>
      </c>
      <c r="D2827" s="5" t="s">
        <v>35</v>
      </c>
      <c r="E2827" s="5" t="s">
        <v>128</v>
      </c>
      <c r="F2827" s="5" t="s">
        <v>129</v>
      </c>
      <c r="G2827" s="5" t="s">
        <v>401</v>
      </c>
      <c r="H2827" s="5" t="s">
        <v>402</v>
      </c>
      <c r="I2827" s="5" t="s">
        <v>63</v>
      </c>
      <c r="J2827" s="5">
        <v>17.015088332120001</v>
      </c>
      <c r="K2827" s="5">
        <v>-97.499921782754996</v>
      </c>
      <c r="L2827" s="5" t="str">
        <f>HYPERLINK("https://maps.google.com/?q=17.0150883321197,-97.499921782754896", "🔗 Ver Mapa")</f>
        <v>🔗 Ver Mapa</v>
      </c>
    </row>
    <row r="2828" spans="1:12" ht="43.5" x14ac:dyDescent="0.35">
      <c r="A2828" s="6" t="s">
        <v>8</v>
      </c>
      <c r="B2828" s="6" t="s">
        <v>16</v>
      </c>
      <c r="C2828" s="6" t="s">
        <v>400</v>
      </c>
      <c r="D2828" s="6" t="s">
        <v>35</v>
      </c>
      <c r="E2828" s="6" t="s">
        <v>128</v>
      </c>
      <c r="F2828" s="6" t="s">
        <v>129</v>
      </c>
      <c r="G2828" s="6" t="s">
        <v>401</v>
      </c>
      <c r="H2828" s="6" t="s">
        <v>402</v>
      </c>
      <c r="I2828" s="6" t="s">
        <v>63</v>
      </c>
      <c r="J2828" s="6">
        <v>17.015130840369999</v>
      </c>
      <c r="K2828" s="6">
        <v>-97.498299411044997</v>
      </c>
      <c r="L2828" s="6" t="str">
        <f>HYPERLINK("https://maps.google.com/?q=17.0151308403705,-97.498299411045096", "🔗 Ver Mapa")</f>
        <v>🔗 Ver Mapa</v>
      </c>
    </row>
    <row r="2829" spans="1:12" ht="43.5" x14ac:dyDescent="0.35">
      <c r="A2829" s="5" t="s">
        <v>8</v>
      </c>
      <c r="B2829" s="5" t="s">
        <v>16</v>
      </c>
      <c r="C2829" s="5" t="s">
        <v>400</v>
      </c>
      <c r="D2829" s="5" t="s">
        <v>35</v>
      </c>
      <c r="E2829" s="5" t="s">
        <v>128</v>
      </c>
      <c r="F2829" s="5" t="s">
        <v>129</v>
      </c>
      <c r="G2829" s="5" t="s">
        <v>401</v>
      </c>
      <c r="H2829" s="5" t="s">
        <v>402</v>
      </c>
      <c r="I2829" s="5" t="s">
        <v>63</v>
      </c>
      <c r="J2829" s="5">
        <v>17.015699437915</v>
      </c>
      <c r="K2829" s="5">
        <v>-97.497062271163998</v>
      </c>
      <c r="L2829" s="5" t="str">
        <f>HYPERLINK("https://maps.google.com/?q=17.0156994379154,-97.497062271163998", "🔗 Ver Mapa")</f>
        <v>🔗 Ver Mapa</v>
      </c>
    </row>
    <row r="2830" spans="1:12" ht="43.5" x14ac:dyDescent="0.35">
      <c r="A2830" s="6" t="s">
        <v>8</v>
      </c>
      <c r="B2830" s="6" t="s">
        <v>16</v>
      </c>
      <c r="C2830" s="6" t="s">
        <v>400</v>
      </c>
      <c r="D2830" s="6" t="s">
        <v>35</v>
      </c>
      <c r="E2830" s="6" t="s">
        <v>128</v>
      </c>
      <c r="F2830" s="6" t="s">
        <v>129</v>
      </c>
      <c r="G2830" s="6" t="s">
        <v>401</v>
      </c>
      <c r="H2830" s="6" t="s">
        <v>402</v>
      </c>
      <c r="I2830" s="6" t="s">
        <v>63</v>
      </c>
      <c r="J2830" s="6">
        <v>17.016114597887</v>
      </c>
      <c r="K2830" s="6">
        <v>-97.500583860118994</v>
      </c>
      <c r="L2830" s="6" t="str">
        <f>HYPERLINK("https://maps.google.com/?q=17.0161145978869,-97.500583860118795", "🔗 Ver Mapa")</f>
        <v>🔗 Ver Mapa</v>
      </c>
    </row>
    <row r="2831" spans="1:12" ht="43.5" x14ac:dyDescent="0.35">
      <c r="A2831" s="5" t="s">
        <v>8</v>
      </c>
      <c r="B2831" s="5" t="s">
        <v>16</v>
      </c>
      <c r="C2831" s="5" t="s">
        <v>400</v>
      </c>
      <c r="D2831" s="5" t="s">
        <v>35</v>
      </c>
      <c r="E2831" s="5" t="s">
        <v>128</v>
      </c>
      <c r="F2831" s="5" t="s">
        <v>129</v>
      </c>
      <c r="G2831" s="5" t="s">
        <v>401</v>
      </c>
      <c r="H2831" s="5" t="s">
        <v>402</v>
      </c>
      <c r="I2831" s="5" t="s">
        <v>63</v>
      </c>
      <c r="J2831" s="5">
        <v>17.016159999999999</v>
      </c>
      <c r="K2831" s="5">
        <v>-97.498315000000005</v>
      </c>
      <c r="L2831" s="5" t="str">
        <f>HYPERLINK("https://maps.google.com/?q=17.01616,-97.498315000000005", "🔗 Ver Mapa")</f>
        <v>🔗 Ver Mapa</v>
      </c>
    </row>
    <row r="2832" spans="1:12" ht="43.5" x14ac:dyDescent="0.35">
      <c r="A2832" s="6" t="s">
        <v>8</v>
      </c>
      <c r="B2832" s="6" t="s">
        <v>16</v>
      </c>
      <c r="C2832" s="6" t="s">
        <v>400</v>
      </c>
      <c r="D2832" s="6" t="s">
        <v>35</v>
      </c>
      <c r="E2832" s="6" t="s">
        <v>128</v>
      </c>
      <c r="F2832" s="6" t="s">
        <v>129</v>
      </c>
      <c r="G2832" s="6" t="s">
        <v>401</v>
      </c>
      <c r="H2832" s="6" t="s">
        <v>402</v>
      </c>
      <c r="I2832" s="6" t="s">
        <v>63</v>
      </c>
      <c r="J2832" s="6">
        <v>17.017861437945001</v>
      </c>
      <c r="K2832" s="6">
        <v>-97.501184930058997</v>
      </c>
      <c r="L2832" s="6" t="str">
        <f>HYPERLINK("https://maps.google.com/?q=17.0178614379454,-97.501184930059495", "🔗 Ver Mapa")</f>
        <v>🔗 Ver Mapa</v>
      </c>
    </row>
    <row r="2833" spans="1:12" ht="43.5" x14ac:dyDescent="0.35">
      <c r="A2833" s="5" t="s">
        <v>8</v>
      </c>
      <c r="B2833" s="5" t="s">
        <v>16</v>
      </c>
      <c r="C2833" s="5" t="s">
        <v>400</v>
      </c>
      <c r="D2833" s="5" t="s">
        <v>35</v>
      </c>
      <c r="E2833" s="5" t="s">
        <v>128</v>
      </c>
      <c r="F2833" s="5" t="s">
        <v>129</v>
      </c>
      <c r="G2833" s="5" t="s">
        <v>401</v>
      </c>
      <c r="H2833" s="5" t="s">
        <v>402</v>
      </c>
      <c r="I2833" s="5" t="s">
        <v>63</v>
      </c>
      <c r="J2833" s="5">
        <v>17.018018468347002</v>
      </c>
      <c r="K2833" s="5">
        <v>-97.501600232136994</v>
      </c>
      <c r="L2833" s="5" t="str">
        <f>HYPERLINK("https://maps.google.com/?q=17.0180184683475,-97.501600232136795", "🔗 Ver Mapa")</f>
        <v>🔗 Ver Mapa</v>
      </c>
    </row>
    <row r="2834" spans="1:12" ht="43.5" x14ac:dyDescent="0.35">
      <c r="A2834" s="6" t="s">
        <v>8</v>
      </c>
      <c r="B2834" s="6" t="s">
        <v>16</v>
      </c>
      <c r="C2834" s="6" t="s">
        <v>400</v>
      </c>
      <c r="D2834" s="6" t="s">
        <v>35</v>
      </c>
      <c r="E2834" s="6" t="s">
        <v>128</v>
      </c>
      <c r="F2834" s="6" t="s">
        <v>129</v>
      </c>
      <c r="G2834" s="6" t="s">
        <v>401</v>
      </c>
      <c r="H2834" s="6" t="s">
        <v>402</v>
      </c>
      <c r="I2834" s="6" t="s">
        <v>63</v>
      </c>
      <c r="J2834" s="6">
        <v>17.018408308439</v>
      </c>
      <c r="K2834" s="6">
        <v>-97.498536317790993</v>
      </c>
      <c r="L2834" s="6" t="str">
        <f>HYPERLINK("https://maps.google.com/?q=17.0184083084388,-97.498536317790794", "🔗 Ver Mapa")</f>
        <v>🔗 Ver Mapa</v>
      </c>
    </row>
    <row r="2835" spans="1:12" ht="43.5" x14ac:dyDescent="0.35">
      <c r="A2835" s="5" t="s">
        <v>8</v>
      </c>
      <c r="B2835" s="5" t="s">
        <v>16</v>
      </c>
      <c r="C2835" s="5" t="s">
        <v>400</v>
      </c>
      <c r="D2835" s="5" t="s">
        <v>35</v>
      </c>
      <c r="E2835" s="5" t="s">
        <v>128</v>
      </c>
      <c r="F2835" s="5" t="s">
        <v>129</v>
      </c>
      <c r="G2835" s="5" t="s">
        <v>401</v>
      </c>
      <c r="H2835" s="5" t="s">
        <v>402</v>
      </c>
      <c r="I2835" s="5" t="s">
        <v>63</v>
      </c>
      <c r="J2835" s="5">
        <v>17.018596155577999</v>
      </c>
      <c r="K2835" s="5">
        <v>-97.498309612268002</v>
      </c>
      <c r="L2835" s="5" t="str">
        <f>HYPERLINK("https://maps.google.com/?q=17.0185961555783,-97.498309612268301", "🔗 Ver Mapa")</f>
        <v>🔗 Ver Mapa</v>
      </c>
    </row>
    <row r="2836" spans="1:12" ht="43.5" x14ac:dyDescent="0.35">
      <c r="A2836" s="6" t="s">
        <v>8</v>
      </c>
      <c r="B2836" s="6" t="s">
        <v>16</v>
      </c>
      <c r="C2836" s="6" t="s">
        <v>400</v>
      </c>
      <c r="D2836" s="6" t="s">
        <v>35</v>
      </c>
      <c r="E2836" s="6" t="s">
        <v>128</v>
      </c>
      <c r="F2836" s="6" t="s">
        <v>129</v>
      </c>
      <c r="G2836" s="6" t="s">
        <v>401</v>
      </c>
      <c r="H2836" s="6" t="s">
        <v>402</v>
      </c>
      <c r="I2836" s="6" t="s">
        <v>63</v>
      </c>
      <c r="J2836" s="6">
        <v>17.019014081899002</v>
      </c>
      <c r="K2836" s="6">
        <v>-97.500562317790994</v>
      </c>
      <c r="L2836" s="6" t="str">
        <f>HYPERLINK("https://maps.google.com/?q=17.0190140818989,-97.500562317790894", "🔗 Ver Mapa")</f>
        <v>🔗 Ver Mapa</v>
      </c>
    </row>
    <row r="2837" spans="1:12" ht="43.5" x14ac:dyDescent="0.35">
      <c r="A2837" s="5" t="s">
        <v>8</v>
      </c>
      <c r="B2837" s="5" t="s">
        <v>16</v>
      </c>
      <c r="C2837" s="5" t="s">
        <v>400</v>
      </c>
      <c r="D2837" s="5" t="s">
        <v>35</v>
      </c>
      <c r="E2837" s="5" t="s">
        <v>128</v>
      </c>
      <c r="F2837" s="5" t="s">
        <v>129</v>
      </c>
      <c r="G2837" s="5" t="s">
        <v>401</v>
      </c>
      <c r="H2837" s="5" t="s">
        <v>402</v>
      </c>
      <c r="I2837" s="5" t="s">
        <v>63</v>
      </c>
      <c r="J2837" s="5">
        <v>17.021712485017002</v>
      </c>
      <c r="K2837" s="5">
        <v>-97.500641000000002</v>
      </c>
      <c r="L2837" s="5" t="str">
        <f>HYPERLINK("https://maps.google.com/?q=17.0217124850169,-97.500640999999902", "🔗 Ver Mapa")</f>
        <v>🔗 Ver Mapa</v>
      </c>
    </row>
    <row r="2838" spans="1:12" ht="43.5" x14ac:dyDescent="0.35">
      <c r="A2838" s="6" t="s">
        <v>8</v>
      </c>
      <c r="B2838" s="6" t="s">
        <v>16</v>
      </c>
      <c r="C2838" s="6" t="s">
        <v>403</v>
      </c>
      <c r="D2838" s="6" t="s">
        <v>35</v>
      </c>
      <c r="E2838" s="6" t="s">
        <v>128</v>
      </c>
      <c r="F2838" s="6" t="s">
        <v>129</v>
      </c>
      <c r="G2838" s="6" t="s">
        <v>401</v>
      </c>
      <c r="H2838" s="6" t="s">
        <v>404</v>
      </c>
      <c r="I2838" s="6" t="s">
        <v>63</v>
      </c>
      <c r="J2838" s="6">
        <v>17.032463242976</v>
      </c>
      <c r="K2838" s="6">
        <v>-97.510495163195003</v>
      </c>
      <c r="L2838" s="6" t="str">
        <f>HYPERLINK("https://maps.google.com/?q=17.0324632429763,-97.510495163194506", "🔗 Ver Mapa")</f>
        <v>🔗 Ver Mapa</v>
      </c>
    </row>
    <row r="2839" spans="1:12" ht="43.5" x14ac:dyDescent="0.35">
      <c r="A2839" s="5" t="s">
        <v>8</v>
      </c>
      <c r="B2839" s="5" t="s">
        <v>16</v>
      </c>
      <c r="C2839" s="5" t="s">
        <v>403</v>
      </c>
      <c r="D2839" s="5" t="s">
        <v>35</v>
      </c>
      <c r="E2839" s="5" t="s">
        <v>128</v>
      </c>
      <c r="F2839" s="5" t="s">
        <v>129</v>
      </c>
      <c r="G2839" s="5" t="s">
        <v>401</v>
      </c>
      <c r="H2839" s="5" t="s">
        <v>404</v>
      </c>
      <c r="I2839" s="5" t="s">
        <v>63</v>
      </c>
      <c r="J2839" s="5">
        <v>17.032621441081002</v>
      </c>
      <c r="K2839" s="5">
        <v>-97.511085721566005</v>
      </c>
      <c r="L2839" s="5" t="str">
        <f>HYPERLINK("https://maps.google.com/?q=17.0326214410806,-97.511085721565806", "🔗 Ver Mapa")</f>
        <v>🔗 Ver Mapa</v>
      </c>
    </row>
    <row r="2840" spans="1:12" ht="43.5" x14ac:dyDescent="0.35">
      <c r="A2840" s="6" t="s">
        <v>8</v>
      </c>
      <c r="B2840" s="6" t="s">
        <v>16</v>
      </c>
      <c r="C2840" s="6" t="s">
        <v>403</v>
      </c>
      <c r="D2840" s="6" t="s">
        <v>35</v>
      </c>
      <c r="E2840" s="6" t="s">
        <v>128</v>
      </c>
      <c r="F2840" s="6" t="s">
        <v>129</v>
      </c>
      <c r="G2840" s="6" t="s">
        <v>401</v>
      </c>
      <c r="H2840" s="6" t="s">
        <v>404</v>
      </c>
      <c r="I2840" s="6" t="s">
        <v>63</v>
      </c>
      <c r="J2840" s="6">
        <v>17.033483873611999</v>
      </c>
      <c r="K2840" s="6">
        <v>-97.511505104413999</v>
      </c>
      <c r="L2840" s="6" t="str">
        <f>HYPERLINK("https://maps.google.com/?q=17.0334838736117,-97.511505104413999", "🔗 Ver Mapa")</f>
        <v>🔗 Ver Mapa</v>
      </c>
    </row>
    <row r="2841" spans="1:12" ht="43.5" x14ac:dyDescent="0.35">
      <c r="A2841" s="5" t="s">
        <v>8</v>
      </c>
      <c r="B2841" s="5" t="s">
        <v>16</v>
      </c>
      <c r="C2841" s="5" t="s">
        <v>403</v>
      </c>
      <c r="D2841" s="5" t="s">
        <v>35</v>
      </c>
      <c r="E2841" s="5" t="s">
        <v>128</v>
      </c>
      <c r="F2841" s="5" t="s">
        <v>129</v>
      </c>
      <c r="G2841" s="5" t="s">
        <v>401</v>
      </c>
      <c r="H2841" s="5" t="s">
        <v>404</v>
      </c>
      <c r="I2841" s="5" t="s">
        <v>63</v>
      </c>
      <c r="J2841" s="5">
        <v>17.033706720439</v>
      </c>
      <c r="K2841" s="5">
        <v>-97.510949658895001</v>
      </c>
      <c r="L2841" s="5" t="str">
        <f>HYPERLINK("https://maps.google.com/?q=17.0337067204389,-97.510949658895498", "🔗 Ver Mapa")</f>
        <v>🔗 Ver Mapa</v>
      </c>
    </row>
    <row r="2842" spans="1:12" ht="43.5" x14ac:dyDescent="0.35">
      <c r="A2842" s="6" t="s">
        <v>8</v>
      </c>
      <c r="B2842" s="6" t="s">
        <v>16</v>
      </c>
      <c r="C2842" s="6" t="s">
        <v>403</v>
      </c>
      <c r="D2842" s="6" t="s">
        <v>35</v>
      </c>
      <c r="E2842" s="6" t="s">
        <v>128</v>
      </c>
      <c r="F2842" s="6" t="s">
        <v>129</v>
      </c>
      <c r="G2842" s="6" t="s">
        <v>401</v>
      </c>
      <c r="H2842" s="6" t="s">
        <v>404</v>
      </c>
      <c r="I2842" s="6" t="s">
        <v>63</v>
      </c>
      <c r="J2842" s="6">
        <v>17.034590050965999</v>
      </c>
      <c r="K2842" s="6">
        <v>-97.511105953373004</v>
      </c>
      <c r="L2842" s="6" t="str">
        <f>HYPERLINK("https://maps.google.com/?q=17.0345900509663,-97.511105953373004", "🔗 Ver Mapa")</f>
        <v>🔗 Ver Mapa</v>
      </c>
    </row>
    <row r="2843" spans="1:12" ht="43.5" x14ac:dyDescent="0.35">
      <c r="A2843" s="5" t="s">
        <v>8</v>
      </c>
      <c r="B2843" s="5" t="s">
        <v>16</v>
      </c>
      <c r="C2843" s="5" t="s">
        <v>403</v>
      </c>
      <c r="D2843" s="5" t="s">
        <v>35</v>
      </c>
      <c r="E2843" s="5" t="s">
        <v>128</v>
      </c>
      <c r="F2843" s="5" t="s">
        <v>129</v>
      </c>
      <c r="G2843" s="5" t="s">
        <v>401</v>
      </c>
      <c r="H2843" s="5" t="s">
        <v>404</v>
      </c>
      <c r="I2843" s="5" t="s">
        <v>63</v>
      </c>
      <c r="J2843" s="5">
        <v>17.034743744579998</v>
      </c>
      <c r="K2843" s="5">
        <v>-97.511146317791003</v>
      </c>
      <c r="L2843" s="5" t="str">
        <f>HYPERLINK("https://maps.google.com/?q=17.0347437445802,-97.511146317790903", "🔗 Ver Mapa")</f>
        <v>🔗 Ver Mapa</v>
      </c>
    </row>
    <row r="2844" spans="1:12" ht="43.5" x14ac:dyDescent="0.35">
      <c r="A2844" s="6" t="s">
        <v>8</v>
      </c>
      <c r="B2844" s="6" t="s">
        <v>16</v>
      </c>
      <c r="C2844" s="6" t="s">
        <v>403</v>
      </c>
      <c r="D2844" s="6" t="s">
        <v>35</v>
      </c>
      <c r="E2844" s="6" t="s">
        <v>128</v>
      </c>
      <c r="F2844" s="6" t="s">
        <v>129</v>
      </c>
      <c r="G2844" s="6" t="s">
        <v>401</v>
      </c>
      <c r="H2844" s="6" t="s">
        <v>404</v>
      </c>
      <c r="I2844" s="6" t="s">
        <v>63</v>
      </c>
      <c r="J2844" s="6">
        <v>17.035209873658999</v>
      </c>
      <c r="K2844" s="6">
        <v>-97.505207782208998</v>
      </c>
      <c r="L2844" s="6" t="str">
        <f>HYPERLINK("https://maps.google.com/?q=17.0352098736593,-97.505207782209098", "🔗 Ver Mapa")</f>
        <v>🔗 Ver Mapa</v>
      </c>
    </row>
    <row r="2845" spans="1:12" ht="43.5" x14ac:dyDescent="0.35">
      <c r="A2845" s="5" t="s">
        <v>8</v>
      </c>
      <c r="B2845" s="5" t="s">
        <v>16</v>
      </c>
      <c r="C2845" s="5" t="s">
        <v>403</v>
      </c>
      <c r="D2845" s="5" t="s">
        <v>35</v>
      </c>
      <c r="E2845" s="5" t="s">
        <v>128</v>
      </c>
      <c r="F2845" s="5" t="s">
        <v>129</v>
      </c>
      <c r="G2845" s="5" t="s">
        <v>401</v>
      </c>
      <c r="H2845" s="5" t="s">
        <v>404</v>
      </c>
      <c r="I2845" s="5" t="s">
        <v>63</v>
      </c>
      <c r="J2845" s="5">
        <v>17.035427567237001</v>
      </c>
      <c r="K2845" s="5">
        <v>-97.505364682209006</v>
      </c>
      <c r="L2845" s="5" t="str">
        <f>HYPERLINK("https://maps.google.com/?q=17.0354275672368,-97.505364682209006", "🔗 Ver Mapa")</f>
        <v>🔗 Ver Mapa</v>
      </c>
    </row>
    <row r="2846" spans="1:12" ht="43.5" x14ac:dyDescent="0.35">
      <c r="A2846" s="6" t="s">
        <v>8</v>
      </c>
      <c r="B2846" s="6" t="s">
        <v>16</v>
      </c>
      <c r="C2846" s="6" t="s">
        <v>403</v>
      </c>
      <c r="D2846" s="6" t="s">
        <v>35</v>
      </c>
      <c r="E2846" s="6" t="s">
        <v>128</v>
      </c>
      <c r="F2846" s="6" t="s">
        <v>129</v>
      </c>
      <c r="G2846" s="6" t="s">
        <v>401</v>
      </c>
      <c r="H2846" s="6" t="s">
        <v>404</v>
      </c>
      <c r="I2846" s="6" t="s">
        <v>63</v>
      </c>
      <c r="J2846" s="6">
        <v>17.036084372998001</v>
      </c>
      <c r="K2846" s="6">
        <v>-97.507857210628003</v>
      </c>
      <c r="L2846" s="6" t="str">
        <f>HYPERLINK("https://maps.google.com/?q=17.0360843729985,-97.507857210628003", "🔗 Ver Mapa")</f>
        <v>🔗 Ver Mapa</v>
      </c>
    </row>
    <row r="2847" spans="1:12" ht="43.5" x14ac:dyDescent="0.35">
      <c r="A2847" s="5" t="s">
        <v>8</v>
      </c>
      <c r="B2847" s="5" t="s">
        <v>16</v>
      </c>
      <c r="C2847" s="5" t="s">
        <v>403</v>
      </c>
      <c r="D2847" s="5" t="s">
        <v>35</v>
      </c>
      <c r="E2847" s="5" t="s">
        <v>128</v>
      </c>
      <c r="F2847" s="5" t="s">
        <v>129</v>
      </c>
      <c r="G2847" s="5" t="s">
        <v>401</v>
      </c>
      <c r="H2847" s="5" t="s">
        <v>404</v>
      </c>
      <c r="I2847" s="5" t="s">
        <v>63</v>
      </c>
      <c r="J2847" s="5">
        <v>17.036414602712998</v>
      </c>
      <c r="K2847" s="5">
        <v>-97.508524641104003</v>
      </c>
      <c r="L2847" s="5" t="str">
        <f>HYPERLINK("https://maps.google.com/?q=17.0364146027131,-97.508524641104401", "🔗 Ver Mapa")</f>
        <v>🔗 Ver Mapa</v>
      </c>
    </row>
    <row r="2848" spans="1:12" ht="43.5" x14ac:dyDescent="0.35">
      <c r="A2848" s="6" t="s">
        <v>8</v>
      </c>
      <c r="B2848" s="6" t="s">
        <v>16</v>
      </c>
      <c r="C2848" s="6" t="s">
        <v>403</v>
      </c>
      <c r="D2848" s="6" t="s">
        <v>35</v>
      </c>
      <c r="E2848" s="6" t="s">
        <v>128</v>
      </c>
      <c r="F2848" s="6" t="s">
        <v>129</v>
      </c>
      <c r="G2848" s="6" t="s">
        <v>401</v>
      </c>
      <c r="H2848" s="6" t="s">
        <v>404</v>
      </c>
      <c r="I2848" s="6" t="s">
        <v>63</v>
      </c>
      <c r="J2848" s="6">
        <v>17.037224673714999</v>
      </c>
      <c r="K2848" s="6">
        <v>-97.508566041104999</v>
      </c>
      <c r="L2848" s="6" t="str">
        <f>HYPERLINK("https://maps.google.com/?q=17.0372246737149,-97.508566041104501", "🔗 Ver Mapa")</f>
        <v>🔗 Ver Mapa</v>
      </c>
    </row>
    <row r="2849" spans="1:12" ht="43.5" x14ac:dyDescent="0.35">
      <c r="A2849" s="5" t="s">
        <v>8</v>
      </c>
      <c r="B2849" s="5" t="s">
        <v>16</v>
      </c>
      <c r="C2849" s="5" t="s">
        <v>403</v>
      </c>
      <c r="D2849" s="5" t="s">
        <v>35</v>
      </c>
      <c r="E2849" s="5" t="s">
        <v>128</v>
      </c>
      <c r="F2849" s="5" t="s">
        <v>129</v>
      </c>
      <c r="G2849" s="5" t="s">
        <v>401</v>
      </c>
      <c r="H2849" s="5" t="s">
        <v>404</v>
      </c>
      <c r="I2849" s="5" t="s">
        <v>63</v>
      </c>
      <c r="J2849" s="5">
        <v>17.038334038228999</v>
      </c>
      <c r="K2849" s="5">
        <v>-97.509860953373007</v>
      </c>
      <c r="L2849" s="5" t="str">
        <f>HYPERLINK("https://maps.google.com/?q=17.0383340382294,-97.509860953372893", "🔗 Ver Mapa")</f>
        <v>🔗 Ver Mapa</v>
      </c>
    </row>
    <row r="2850" spans="1:12" ht="43.5" x14ac:dyDescent="0.35">
      <c r="A2850" s="6" t="s">
        <v>8</v>
      </c>
      <c r="B2850" s="6" t="s">
        <v>16</v>
      </c>
      <c r="C2850" s="6" t="s">
        <v>403</v>
      </c>
      <c r="D2850" s="6" t="s">
        <v>35</v>
      </c>
      <c r="E2850" s="6" t="s">
        <v>128</v>
      </c>
      <c r="F2850" s="6" t="s">
        <v>129</v>
      </c>
      <c r="G2850" s="6" t="s">
        <v>401</v>
      </c>
      <c r="H2850" s="6" t="s">
        <v>404</v>
      </c>
      <c r="I2850" s="6" t="s">
        <v>63</v>
      </c>
      <c r="J2850" s="6">
        <v>17.039129538240001</v>
      </c>
      <c r="K2850" s="6">
        <v>-97.509194899999997</v>
      </c>
      <c r="L2850" s="6" t="str">
        <f>HYPERLINK("https://maps.google.com/?q=17.03912953824,-97.509194899999898", "🔗 Ver Mapa")</f>
        <v>🔗 Ver Mapa</v>
      </c>
    </row>
    <row r="2851" spans="1:12" ht="43.5" x14ac:dyDescent="0.35">
      <c r="A2851" s="5" t="s">
        <v>8</v>
      </c>
      <c r="B2851" s="5" t="s">
        <v>16</v>
      </c>
      <c r="C2851" s="5" t="s">
        <v>403</v>
      </c>
      <c r="D2851" s="5" t="s">
        <v>35</v>
      </c>
      <c r="E2851" s="5" t="s">
        <v>128</v>
      </c>
      <c r="F2851" s="5" t="s">
        <v>129</v>
      </c>
      <c r="G2851" s="5" t="s">
        <v>401</v>
      </c>
      <c r="H2851" s="5" t="s">
        <v>404</v>
      </c>
      <c r="I2851" s="5" t="s">
        <v>63</v>
      </c>
      <c r="J2851" s="5">
        <v>17.03958576718</v>
      </c>
      <c r="K2851" s="5">
        <v>-97.510114435581997</v>
      </c>
      <c r="L2851" s="5" t="str">
        <f>HYPERLINK("https://maps.google.com/?q=17.0395857671804,-97.510114435581698", "🔗 Ver Mapa")</f>
        <v>🔗 Ver Mapa</v>
      </c>
    </row>
    <row r="2852" spans="1:12" ht="43.5" x14ac:dyDescent="0.35">
      <c r="A2852" s="6" t="s">
        <v>8</v>
      </c>
      <c r="B2852" s="6" t="s">
        <v>16</v>
      </c>
      <c r="C2852" s="6" t="s">
        <v>403</v>
      </c>
      <c r="D2852" s="6" t="s">
        <v>35</v>
      </c>
      <c r="E2852" s="6" t="s">
        <v>128</v>
      </c>
      <c r="F2852" s="6" t="s">
        <v>129</v>
      </c>
      <c r="G2852" s="6" t="s">
        <v>401</v>
      </c>
      <c r="H2852" s="6" t="s">
        <v>404</v>
      </c>
      <c r="I2852" s="6" t="s">
        <v>63</v>
      </c>
      <c r="J2852" s="6">
        <v>17.039781720482001</v>
      </c>
      <c r="K2852" s="6">
        <v>-97.509886658894999</v>
      </c>
      <c r="L2852" s="6" t="str">
        <f>HYPERLINK("https://maps.google.com/?q=17.0397817204816,-97.509886658895397", "🔗 Ver Mapa")</f>
        <v>🔗 Ver Mapa</v>
      </c>
    </row>
    <row r="2853" spans="1:12" ht="43.5" x14ac:dyDescent="0.35">
      <c r="A2853" s="5" t="s">
        <v>8</v>
      </c>
      <c r="B2853" s="5" t="s">
        <v>16</v>
      </c>
      <c r="C2853" s="5" t="s">
        <v>403</v>
      </c>
      <c r="D2853" s="5" t="s">
        <v>35</v>
      </c>
      <c r="E2853" s="5" t="s">
        <v>128</v>
      </c>
      <c r="F2853" s="5" t="s">
        <v>129</v>
      </c>
      <c r="G2853" s="5" t="s">
        <v>401</v>
      </c>
      <c r="H2853" s="5" t="s">
        <v>404</v>
      </c>
      <c r="I2853" s="5" t="s">
        <v>63</v>
      </c>
      <c r="J2853" s="5">
        <v>17.039970438251999</v>
      </c>
      <c r="K2853" s="5">
        <v>-97.510092728836</v>
      </c>
      <c r="L2853" s="5" t="str">
        <f>HYPERLINK("https://maps.google.com/?q=17.0399704382521,-97.510092728836099", "🔗 Ver Mapa")</f>
        <v>🔗 Ver Mapa</v>
      </c>
    </row>
    <row r="2854" spans="1:12" ht="43.5" x14ac:dyDescent="0.35">
      <c r="A2854" s="6" t="s">
        <v>8</v>
      </c>
      <c r="B2854" s="6" t="s">
        <v>16</v>
      </c>
      <c r="C2854" s="6" t="s">
        <v>403</v>
      </c>
      <c r="D2854" s="6" t="s">
        <v>35</v>
      </c>
      <c r="E2854" s="6" t="s">
        <v>128</v>
      </c>
      <c r="F2854" s="6" t="s">
        <v>129</v>
      </c>
      <c r="G2854" s="6" t="s">
        <v>401</v>
      </c>
      <c r="H2854" s="6" t="s">
        <v>404</v>
      </c>
      <c r="I2854" s="6" t="s">
        <v>63</v>
      </c>
      <c r="J2854" s="6">
        <v>17.042487873860001</v>
      </c>
      <c r="K2854" s="6">
        <v>-97.510334999999998</v>
      </c>
      <c r="L2854" s="6" t="str">
        <f>HYPERLINK("https://maps.google.com/?q=17.0424878738604,-97.5103349999995", "🔗 Ver Mapa")</f>
        <v>🔗 Ver Mapa</v>
      </c>
    </row>
    <row r="2855" spans="1:12" ht="43.5" x14ac:dyDescent="0.35">
      <c r="A2855" s="5" t="s">
        <v>8</v>
      </c>
      <c r="B2855" s="5" t="s">
        <v>16</v>
      </c>
      <c r="C2855" s="5" t="s">
        <v>405</v>
      </c>
      <c r="D2855" s="5" t="s">
        <v>35</v>
      </c>
      <c r="E2855" s="5" t="s">
        <v>128</v>
      </c>
      <c r="F2855" s="5" t="s">
        <v>129</v>
      </c>
      <c r="G2855" s="5" t="s">
        <v>401</v>
      </c>
      <c r="H2855" s="5" t="s">
        <v>406</v>
      </c>
      <c r="I2855" s="5" t="s">
        <v>63</v>
      </c>
      <c r="J2855" s="5">
        <v>17.008732590484001</v>
      </c>
      <c r="K2855" s="5">
        <v>-97.469404635581995</v>
      </c>
      <c r="L2855" s="5" t="str">
        <f>HYPERLINK("https://maps.google.com/?q=17.0087325904845,-97.469404635581895", "🔗 Ver Mapa")</f>
        <v>🔗 Ver Mapa</v>
      </c>
    </row>
    <row r="2856" spans="1:12" ht="43.5" x14ac:dyDescent="0.35">
      <c r="A2856" s="6" t="s">
        <v>8</v>
      </c>
      <c r="B2856" s="6" t="s">
        <v>16</v>
      </c>
      <c r="C2856" s="6" t="s">
        <v>405</v>
      </c>
      <c r="D2856" s="6" t="s">
        <v>35</v>
      </c>
      <c r="E2856" s="6" t="s">
        <v>128</v>
      </c>
      <c r="F2856" s="6" t="s">
        <v>129</v>
      </c>
      <c r="G2856" s="6" t="s">
        <v>401</v>
      </c>
      <c r="H2856" s="6" t="s">
        <v>406</v>
      </c>
      <c r="I2856" s="6" t="s">
        <v>63</v>
      </c>
      <c r="J2856" s="6">
        <v>17.009891590523999</v>
      </c>
      <c r="K2856" s="6">
        <v>-97.467985836804999</v>
      </c>
      <c r="L2856" s="6" t="str">
        <f>HYPERLINK("https://maps.google.com/?q=17.0098915905243,-97.467985836805298", "🔗 Ver Mapa")</f>
        <v>🔗 Ver Mapa</v>
      </c>
    </row>
    <row r="2857" spans="1:12" ht="43.5" x14ac:dyDescent="0.35">
      <c r="A2857" s="5" t="s">
        <v>8</v>
      </c>
      <c r="B2857" s="5" t="s">
        <v>16</v>
      </c>
      <c r="C2857" s="5" t="s">
        <v>405</v>
      </c>
      <c r="D2857" s="5" t="s">
        <v>35</v>
      </c>
      <c r="E2857" s="5" t="s">
        <v>128</v>
      </c>
      <c r="F2857" s="5" t="s">
        <v>129</v>
      </c>
      <c r="G2857" s="5" t="s">
        <v>401</v>
      </c>
      <c r="H2857" s="5" t="s">
        <v>406</v>
      </c>
      <c r="I2857" s="5" t="s">
        <v>63</v>
      </c>
      <c r="J2857" s="5">
        <v>17.009949720272001</v>
      </c>
      <c r="K2857" s="5">
        <v>-97.468917976686996</v>
      </c>
      <c r="L2857" s="5" t="str">
        <f>HYPERLINK("https://maps.google.com/?q=17.0099497202722,-97.468917976686697", "🔗 Ver Mapa")</f>
        <v>🔗 Ver Mapa</v>
      </c>
    </row>
    <row r="2858" spans="1:12" ht="43.5" x14ac:dyDescent="0.35">
      <c r="A2858" s="6" t="s">
        <v>8</v>
      </c>
      <c r="B2858" s="6" t="s">
        <v>16</v>
      </c>
      <c r="C2858" s="6" t="s">
        <v>405</v>
      </c>
      <c r="D2858" s="6" t="s">
        <v>35</v>
      </c>
      <c r="E2858" s="6" t="s">
        <v>128</v>
      </c>
      <c r="F2858" s="6" t="s">
        <v>129</v>
      </c>
      <c r="G2858" s="6" t="s">
        <v>401</v>
      </c>
      <c r="H2858" s="6" t="s">
        <v>406</v>
      </c>
      <c r="I2858" s="6" t="s">
        <v>63</v>
      </c>
      <c r="J2858" s="6">
        <v>17.010032155400999</v>
      </c>
      <c r="K2858" s="6">
        <v>-97.466187069941</v>
      </c>
      <c r="L2858" s="6" t="str">
        <f>HYPERLINK("https://maps.google.com/?q=17.0100321554009,-97.466187069940503", "🔗 Ver Mapa")</f>
        <v>🔗 Ver Mapa</v>
      </c>
    </row>
    <row r="2859" spans="1:12" ht="43.5" x14ac:dyDescent="0.35">
      <c r="A2859" s="5" t="s">
        <v>8</v>
      </c>
      <c r="B2859" s="5" t="s">
        <v>16</v>
      </c>
      <c r="C2859" s="5" t="s">
        <v>405</v>
      </c>
      <c r="D2859" s="5" t="s">
        <v>35</v>
      </c>
      <c r="E2859" s="5" t="s">
        <v>128</v>
      </c>
      <c r="F2859" s="5" t="s">
        <v>129</v>
      </c>
      <c r="G2859" s="5" t="s">
        <v>401</v>
      </c>
      <c r="H2859" s="5" t="s">
        <v>406</v>
      </c>
      <c r="I2859" s="5" t="s">
        <v>63</v>
      </c>
      <c r="J2859" s="5">
        <v>17.010040079054999</v>
      </c>
      <c r="K2859" s="5">
        <v>-97.465784341103998</v>
      </c>
      <c r="L2859" s="5" t="str">
        <f>HYPERLINK("https://maps.google.com/?q=17.010040079055,-97.465784341104396", "🔗 Ver Mapa")</f>
        <v>🔗 Ver Mapa</v>
      </c>
    </row>
    <row r="2860" spans="1:12" ht="43.5" x14ac:dyDescent="0.35">
      <c r="A2860" s="6" t="s">
        <v>8</v>
      </c>
      <c r="B2860" s="6" t="s">
        <v>16</v>
      </c>
      <c r="C2860" s="6" t="s">
        <v>405</v>
      </c>
      <c r="D2860" s="6" t="s">
        <v>35</v>
      </c>
      <c r="E2860" s="6" t="s">
        <v>128</v>
      </c>
      <c r="F2860" s="6" t="s">
        <v>129</v>
      </c>
      <c r="G2860" s="6" t="s">
        <v>401</v>
      </c>
      <c r="H2860" s="6" t="s">
        <v>406</v>
      </c>
      <c r="I2860" s="6" t="s">
        <v>63</v>
      </c>
      <c r="J2860" s="6">
        <v>17.010046002709</v>
      </c>
      <c r="K2860" s="6">
        <v>-97.466656682209006</v>
      </c>
      <c r="L2860" s="6" t="str">
        <f>HYPERLINK("https://maps.google.com/?q=17.0100460027088,-97.466656682209106", "🔗 Ver Mapa")</f>
        <v>🔗 Ver Mapa</v>
      </c>
    </row>
    <row r="2861" spans="1:12" ht="43.5" x14ac:dyDescent="0.35">
      <c r="A2861" s="5" t="s">
        <v>8</v>
      </c>
      <c r="B2861" s="5" t="s">
        <v>16</v>
      </c>
      <c r="C2861" s="5" t="s">
        <v>405</v>
      </c>
      <c r="D2861" s="5" t="s">
        <v>35</v>
      </c>
      <c r="E2861" s="5" t="s">
        <v>128</v>
      </c>
      <c r="F2861" s="5" t="s">
        <v>129</v>
      </c>
      <c r="G2861" s="5" t="s">
        <v>401</v>
      </c>
      <c r="H2861" s="5" t="s">
        <v>406</v>
      </c>
      <c r="I2861" s="5" t="s">
        <v>63</v>
      </c>
      <c r="J2861" s="5">
        <v>17.010124002708999</v>
      </c>
      <c r="K2861" s="5">
        <v>-97.465596317790997</v>
      </c>
      <c r="L2861" s="5" t="str">
        <f>HYPERLINK("https://maps.google.com/?q=17.0101240027088,-97.465596317790997", "🔗 Ver Mapa")</f>
        <v>🔗 Ver Mapa</v>
      </c>
    </row>
    <row r="2862" spans="1:12" ht="43.5" x14ac:dyDescent="0.35">
      <c r="A2862" s="6" t="s">
        <v>8</v>
      </c>
      <c r="B2862" s="6" t="s">
        <v>16</v>
      </c>
      <c r="C2862" s="6" t="s">
        <v>405</v>
      </c>
      <c r="D2862" s="6" t="s">
        <v>35</v>
      </c>
      <c r="E2862" s="6" t="s">
        <v>128</v>
      </c>
      <c r="F2862" s="6" t="s">
        <v>129</v>
      </c>
      <c r="G2862" s="6" t="s">
        <v>401</v>
      </c>
      <c r="H2862" s="6" t="s">
        <v>406</v>
      </c>
      <c r="I2862" s="6" t="s">
        <v>63</v>
      </c>
      <c r="J2862" s="6">
        <v>17.010423743242999</v>
      </c>
      <c r="K2862" s="6">
        <v>-97.464726224537003</v>
      </c>
      <c r="L2862" s="6" t="str">
        <f>HYPERLINK("https://maps.google.com/?q=17.010423743243,-97.464726224536804", "🔗 Ver Mapa")</f>
        <v>🔗 Ver Mapa</v>
      </c>
    </row>
    <row r="2863" spans="1:12" ht="43.5" x14ac:dyDescent="0.35">
      <c r="A2863" s="5" t="s">
        <v>8</v>
      </c>
      <c r="B2863" s="5" t="s">
        <v>16</v>
      </c>
      <c r="C2863" s="5" t="s">
        <v>405</v>
      </c>
      <c r="D2863" s="5" t="s">
        <v>35</v>
      </c>
      <c r="E2863" s="5" t="s">
        <v>128</v>
      </c>
      <c r="F2863" s="5" t="s">
        <v>129</v>
      </c>
      <c r="G2863" s="5" t="s">
        <v>401</v>
      </c>
      <c r="H2863" s="5" t="s">
        <v>406</v>
      </c>
      <c r="I2863" s="5" t="s">
        <v>63</v>
      </c>
      <c r="J2863" s="5">
        <v>17.01043662156</v>
      </c>
      <c r="K2863" s="5">
        <v>-97.464756469329004</v>
      </c>
      <c r="L2863" s="5" t="str">
        <f>HYPERLINK("https://maps.google.com/?q=17.0104366215603,-97.464756469328805", "🔗 Ver Mapa")</f>
        <v>🔗 Ver Mapa</v>
      </c>
    </row>
    <row r="2864" spans="1:12" ht="43.5" x14ac:dyDescent="0.35">
      <c r="A2864" s="6" t="s">
        <v>8</v>
      </c>
      <c r="B2864" s="6" t="s">
        <v>16</v>
      </c>
      <c r="C2864" s="6" t="s">
        <v>405</v>
      </c>
      <c r="D2864" s="6" t="s">
        <v>35</v>
      </c>
      <c r="E2864" s="6" t="s">
        <v>128</v>
      </c>
      <c r="F2864" s="6" t="s">
        <v>129</v>
      </c>
      <c r="G2864" s="6" t="s">
        <v>401</v>
      </c>
      <c r="H2864" s="6" t="s">
        <v>406</v>
      </c>
      <c r="I2864" s="6" t="s">
        <v>63</v>
      </c>
      <c r="J2864" s="6">
        <v>17.01067005606</v>
      </c>
      <c r="K2864" s="6">
        <v>-97.469592347914997</v>
      </c>
      <c r="L2864" s="6" t="str">
        <f>HYPERLINK("https://maps.google.com/?q=17.01067005606,-97.469592347915494", "🔗 Ver Mapa")</f>
        <v>🔗 Ver Mapa</v>
      </c>
    </row>
    <row r="2865" spans="1:12" ht="43.5" x14ac:dyDescent="0.35">
      <c r="A2865" s="5" t="s">
        <v>8</v>
      </c>
      <c r="B2865" s="5" t="s">
        <v>16</v>
      </c>
      <c r="C2865" s="5" t="s">
        <v>405</v>
      </c>
      <c r="D2865" s="5" t="s">
        <v>35</v>
      </c>
      <c r="E2865" s="5" t="s">
        <v>128</v>
      </c>
      <c r="F2865" s="5" t="s">
        <v>129</v>
      </c>
      <c r="G2865" s="5" t="s">
        <v>401</v>
      </c>
      <c r="H2865" s="5" t="s">
        <v>406</v>
      </c>
      <c r="I2865" s="5" t="s">
        <v>63</v>
      </c>
      <c r="J2865" s="5">
        <v>17.010955002709</v>
      </c>
      <c r="K2865" s="5">
        <v>-97.464037658896004</v>
      </c>
      <c r="L2865" s="5" t="str">
        <f>HYPERLINK("https://maps.google.com/?q=17.0109550027089,-97.464037658895506", "🔗 Ver Mapa")</f>
        <v>🔗 Ver Mapa</v>
      </c>
    </row>
    <row r="2866" spans="1:12" ht="43.5" x14ac:dyDescent="0.35">
      <c r="A2866" s="6" t="s">
        <v>8</v>
      </c>
      <c r="B2866" s="6" t="s">
        <v>16</v>
      </c>
      <c r="C2866" s="6" t="s">
        <v>405</v>
      </c>
      <c r="D2866" s="6" t="s">
        <v>35</v>
      </c>
      <c r="E2866" s="6" t="s">
        <v>128</v>
      </c>
      <c r="F2866" s="6" t="s">
        <v>129</v>
      </c>
      <c r="G2866" s="6" t="s">
        <v>401</v>
      </c>
      <c r="H2866" s="6" t="s">
        <v>406</v>
      </c>
      <c r="I2866" s="6" t="s">
        <v>63</v>
      </c>
      <c r="J2866" s="6">
        <v>17.010987190561998</v>
      </c>
      <c r="K2866" s="6">
        <v>-97.466352499999999</v>
      </c>
      <c r="L2866" s="6" t="str">
        <f>HYPERLINK("https://maps.google.com/?q=17.010987190562,-97.4663524999999", "🔗 Ver Mapa")</f>
        <v>🔗 Ver Mapa</v>
      </c>
    </row>
    <row r="2867" spans="1:12" ht="43.5" x14ac:dyDescent="0.35">
      <c r="A2867" s="5" t="s">
        <v>8</v>
      </c>
      <c r="B2867" s="5" t="s">
        <v>16</v>
      </c>
      <c r="C2867" s="5" t="s">
        <v>405</v>
      </c>
      <c r="D2867" s="5" t="s">
        <v>35</v>
      </c>
      <c r="E2867" s="5" t="s">
        <v>128</v>
      </c>
      <c r="F2867" s="5" t="s">
        <v>129</v>
      </c>
      <c r="G2867" s="5" t="s">
        <v>401</v>
      </c>
      <c r="H2867" s="5" t="s">
        <v>406</v>
      </c>
      <c r="I2867" s="5" t="s">
        <v>63</v>
      </c>
      <c r="J2867" s="5">
        <v>17.011050937851</v>
      </c>
      <c r="K2867" s="5">
        <v>-97.465330317791</v>
      </c>
      <c r="L2867" s="5" t="str">
        <f>HYPERLINK("https://maps.google.com/?q=17.011050937851,-97.465330317791", "🔗 Ver Mapa")</f>
        <v>🔗 Ver Mapa</v>
      </c>
    </row>
    <row r="2868" spans="1:12" ht="43.5" x14ac:dyDescent="0.35">
      <c r="A2868" s="6" t="s">
        <v>8</v>
      </c>
      <c r="B2868" s="6" t="s">
        <v>16</v>
      </c>
      <c r="C2868" s="6" t="s">
        <v>407</v>
      </c>
      <c r="D2868" s="6" t="s">
        <v>35</v>
      </c>
      <c r="E2868" s="6" t="s">
        <v>128</v>
      </c>
      <c r="F2868" s="6" t="s">
        <v>129</v>
      </c>
      <c r="G2868" s="6" t="s">
        <v>401</v>
      </c>
      <c r="H2868" s="6" t="s">
        <v>408</v>
      </c>
      <c r="I2868" s="6" t="s">
        <v>63</v>
      </c>
      <c r="J2868" s="6">
        <v>17.061823695202001</v>
      </c>
      <c r="K2868" s="6">
        <v>-97.477043906746005</v>
      </c>
      <c r="L2868" s="6" t="str">
        <f>HYPERLINK("https://maps.google.com/?q=17.0618236952021,-97.477043906746104", "🔗 Ver Mapa")</f>
        <v>🔗 Ver Mapa</v>
      </c>
    </row>
    <row r="2869" spans="1:12" ht="43.5" x14ac:dyDescent="0.35">
      <c r="A2869" s="5" t="s">
        <v>8</v>
      </c>
      <c r="B2869" s="5" t="s">
        <v>16</v>
      </c>
      <c r="C2869" s="5" t="s">
        <v>407</v>
      </c>
      <c r="D2869" s="5" t="s">
        <v>35</v>
      </c>
      <c r="E2869" s="5" t="s">
        <v>128</v>
      </c>
      <c r="F2869" s="5" t="s">
        <v>129</v>
      </c>
      <c r="G2869" s="5" t="s">
        <v>401</v>
      </c>
      <c r="H2869" s="5" t="s">
        <v>408</v>
      </c>
      <c r="I2869" s="5" t="s">
        <v>63</v>
      </c>
      <c r="J2869" s="5">
        <v>17.061921460148</v>
      </c>
      <c r="K2869" s="5">
        <v>-97.476314577761002</v>
      </c>
      <c r="L2869" s="5" t="str">
        <f>HYPERLINK("https://maps.google.com/?q=17.061921460148,-97.476314577760903", "🔗 Ver Mapa")</f>
        <v>🔗 Ver Mapa</v>
      </c>
    </row>
    <row r="2870" spans="1:12" ht="43.5" x14ac:dyDescent="0.35">
      <c r="A2870" s="6" t="s">
        <v>8</v>
      </c>
      <c r="B2870" s="6" t="s">
        <v>16</v>
      </c>
      <c r="C2870" s="6" t="s">
        <v>407</v>
      </c>
      <c r="D2870" s="6" t="s">
        <v>35</v>
      </c>
      <c r="E2870" s="6" t="s">
        <v>128</v>
      </c>
      <c r="F2870" s="6" t="s">
        <v>129</v>
      </c>
      <c r="G2870" s="6" t="s">
        <v>401</v>
      </c>
      <c r="H2870" s="6" t="s">
        <v>408</v>
      </c>
      <c r="I2870" s="6" t="s">
        <v>63</v>
      </c>
      <c r="J2870" s="6">
        <v>17.062375781084</v>
      </c>
      <c r="K2870" s="6">
        <v>-97.476544885913995</v>
      </c>
      <c r="L2870" s="6" t="str">
        <f>HYPERLINK("https://maps.google.com/?q=17.0623757810839,-97.476544885913796", "🔗 Ver Mapa")</f>
        <v>🔗 Ver Mapa</v>
      </c>
    </row>
    <row r="2871" spans="1:12" ht="43.5" x14ac:dyDescent="0.35">
      <c r="A2871" s="5" t="s">
        <v>8</v>
      </c>
      <c r="B2871" s="5" t="s">
        <v>16</v>
      </c>
      <c r="C2871" s="5" t="s">
        <v>407</v>
      </c>
      <c r="D2871" s="5" t="s">
        <v>35</v>
      </c>
      <c r="E2871" s="5" t="s">
        <v>128</v>
      </c>
      <c r="F2871" s="5" t="s">
        <v>129</v>
      </c>
      <c r="G2871" s="5" t="s">
        <v>401</v>
      </c>
      <c r="H2871" s="5" t="s">
        <v>408</v>
      </c>
      <c r="I2871" s="5" t="s">
        <v>63</v>
      </c>
      <c r="J2871" s="5">
        <v>17.062555169159999</v>
      </c>
      <c r="K2871" s="5">
        <v>-97.476387210802997</v>
      </c>
      <c r="L2871" s="5" t="str">
        <f>HYPERLINK("https://maps.google.com/?q=17.0625551691598,-97.476387210802898", "🔗 Ver Mapa")</f>
        <v>🔗 Ver Mapa</v>
      </c>
    </row>
    <row r="2872" spans="1:12" ht="43.5" x14ac:dyDescent="0.35">
      <c r="A2872" s="6" t="s">
        <v>8</v>
      </c>
      <c r="B2872" s="6" t="s">
        <v>16</v>
      </c>
      <c r="C2872" s="6" t="s">
        <v>407</v>
      </c>
      <c r="D2872" s="6" t="s">
        <v>35</v>
      </c>
      <c r="E2872" s="6" t="s">
        <v>128</v>
      </c>
      <c r="F2872" s="6" t="s">
        <v>129</v>
      </c>
      <c r="G2872" s="6" t="s">
        <v>401</v>
      </c>
      <c r="H2872" s="6" t="s">
        <v>408</v>
      </c>
      <c r="I2872" s="6" t="s">
        <v>63</v>
      </c>
      <c r="J2872" s="6">
        <v>17.06260536584</v>
      </c>
      <c r="K2872" s="6">
        <v>-97.477619596226006</v>
      </c>
      <c r="L2872" s="6" t="str">
        <f>HYPERLINK("https://maps.google.com/?q=17.06260536584,-97.477619596225693", "🔗 Ver Mapa")</f>
        <v>🔗 Ver Mapa</v>
      </c>
    </row>
    <row r="2873" spans="1:12" ht="43.5" x14ac:dyDescent="0.35">
      <c r="A2873" s="5" t="s">
        <v>8</v>
      </c>
      <c r="B2873" s="5" t="s">
        <v>16</v>
      </c>
      <c r="C2873" s="5" t="s">
        <v>407</v>
      </c>
      <c r="D2873" s="5" t="s">
        <v>35</v>
      </c>
      <c r="E2873" s="5" t="s">
        <v>128</v>
      </c>
      <c r="F2873" s="5" t="s">
        <v>129</v>
      </c>
      <c r="G2873" s="5" t="s">
        <v>401</v>
      </c>
      <c r="H2873" s="5" t="s">
        <v>408</v>
      </c>
      <c r="I2873" s="5" t="s">
        <v>63</v>
      </c>
      <c r="J2873" s="5">
        <v>17.063329541312999</v>
      </c>
      <c r="K2873" s="5">
        <v>-97.477859743550994</v>
      </c>
      <c r="L2873" s="5" t="str">
        <f>HYPERLINK("https://maps.google.com/?q=17.0633295413128,-97.477859743551207", "🔗 Ver Mapa")</f>
        <v>🔗 Ver Mapa</v>
      </c>
    </row>
    <row r="2874" spans="1:12" ht="43.5" x14ac:dyDescent="0.35">
      <c r="A2874" s="6" t="s">
        <v>8</v>
      </c>
      <c r="B2874" s="6" t="s">
        <v>16</v>
      </c>
      <c r="C2874" s="6" t="s">
        <v>407</v>
      </c>
      <c r="D2874" s="6" t="s">
        <v>35</v>
      </c>
      <c r="E2874" s="6" t="s">
        <v>128</v>
      </c>
      <c r="F2874" s="6" t="s">
        <v>129</v>
      </c>
      <c r="G2874" s="6" t="s">
        <v>401</v>
      </c>
      <c r="H2874" s="6" t="s">
        <v>408</v>
      </c>
      <c r="I2874" s="6" t="s">
        <v>63</v>
      </c>
      <c r="J2874" s="6">
        <v>17.063813847670001</v>
      </c>
      <c r="K2874" s="6">
        <v>-97.478371425760002</v>
      </c>
      <c r="L2874" s="6" t="str">
        <f>HYPERLINK("https://maps.google.com/?q=17.0638138476705,-97.4783714257603", "🔗 Ver Mapa")</f>
        <v>🔗 Ver Mapa</v>
      </c>
    </row>
    <row r="2875" spans="1:12" ht="43.5" x14ac:dyDescent="0.35">
      <c r="A2875" s="5" t="s">
        <v>8</v>
      </c>
      <c r="B2875" s="5" t="s">
        <v>16</v>
      </c>
      <c r="C2875" s="5" t="s">
        <v>407</v>
      </c>
      <c r="D2875" s="5" t="s">
        <v>35</v>
      </c>
      <c r="E2875" s="5" t="s">
        <v>128</v>
      </c>
      <c r="F2875" s="5" t="s">
        <v>129</v>
      </c>
      <c r="G2875" s="5" t="s">
        <v>401</v>
      </c>
      <c r="H2875" s="5" t="s">
        <v>408</v>
      </c>
      <c r="I2875" s="5" t="s">
        <v>63</v>
      </c>
      <c r="J2875" s="5">
        <v>17.063906667851001</v>
      </c>
      <c r="K2875" s="5">
        <v>-97.478408165676001</v>
      </c>
      <c r="L2875" s="5" t="str">
        <f>HYPERLINK("https://maps.google.com/?q=17.0639066678514,-97.4784081656761", "🔗 Ver Mapa")</f>
        <v>🔗 Ver Mapa</v>
      </c>
    </row>
    <row r="2876" spans="1:12" ht="43.5" x14ac:dyDescent="0.35">
      <c r="A2876" s="6" t="s">
        <v>8</v>
      </c>
      <c r="B2876" s="6" t="s">
        <v>16</v>
      </c>
      <c r="C2876" s="6" t="s">
        <v>407</v>
      </c>
      <c r="D2876" s="6" t="s">
        <v>35</v>
      </c>
      <c r="E2876" s="6" t="s">
        <v>128</v>
      </c>
      <c r="F2876" s="6" t="s">
        <v>129</v>
      </c>
      <c r="G2876" s="6" t="s">
        <v>401</v>
      </c>
      <c r="H2876" s="6" t="s">
        <v>408</v>
      </c>
      <c r="I2876" s="6" t="s">
        <v>63</v>
      </c>
      <c r="J2876" s="6">
        <v>17.063910975637999</v>
      </c>
      <c r="K2876" s="6">
        <v>-97.478190400147994</v>
      </c>
      <c r="L2876" s="6" t="str">
        <f>HYPERLINK("https://maps.google.com/?q=17.0639109756378,-97.478190400148407", "🔗 Ver Mapa")</f>
        <v>🔗 Ver Mapa</v>
      </c>
    </row>
    <row r="2877" spans="1:12" ht="43.5" x14ac:dyDescent="0.35">
      <c r="A2877" s="5" t="s">
        <v>8</v>
      </c>
      <c r="B2877" s="5" t="s">
        <v>16</v>
      </c>
      <c r="C2877" s="5" t="s">
        <v>407</v>
      </c>
      <c r="D2877" s="5" t="s">
        <v>35</v>
      </c>
      <c r="E2877" s="5" t="s">
        <v>128</v>
      </c>
      <c r="F2877" s="5" t="s">
        <v>129</v>
      </c>
      <c r="G2877" s="5" t="s">
        <v>401</v>
      </c>
      <c r="H2877" s="5" t="s">
        <v>408</v>
      </c>
      <c r="I2877" s="5" t="s">
        <v>63</v>
      </c>
      <c r="J2877" s="5">
        <v>17.064029542461</v>
      </c>
      <c r="K2877" s="5">
        <v>-97.478200775462994</v>
      </c>
      <c r="L2877" s="5" t="str">
        <f>HYPERLINK("https://maps.google.com/?q=17.0640295424612,-97.478200775463094", "🔗 Ver Mapa")</f>
        <v>🔗 Ver Mapa</v>
      </c>
    </row>
    <row r="2878" spans="1:12" ht="43.5" x14ac:dyDescent="0.35">
      <c r="A2878" s="6" t="s">
        <v>8</v>
      </c>
      <c r="B2878" s="6" t="s">
        <v>16</v>
      </c>
      <c r="C2878" s="6" t="s">
        <v>407</v>
      </c>
      <c r="D2878" s="6" t="s">
        <v>35</v>
      </c>
      <c r="E2878" s="6" t="s">
        <v>128</v>
      </c>
      <c r="F2878" s="6" t="s">
        <v>129</v>
      </c>
      <c r="G2878" s="6" t="s">
        <v>401</v>
      </c>
      <c r="H2878" s="6" t="s">
        <v>408</v>
      </c>
      <c r="I2878" s="6" t="s">
        <v>63</v>
      </c>
      <c r="J2878" s="6">
        <v>17.064260517864</v>
      </c>
      <c r="K2878" s="6">
        <v>-97.478169449074002</v>
      </c>
      <c r="L2878" s="6" t="str">
        <f>HYPERLINK("https://maps.google.com/?q=17.0642605178641,-97.478169449073903", "🔗 Ver Mapa")</f>
        <v>🔗 Ver Mapa</v>
      </c>
    </row>
    <row r="2879" spans="1:12" ht="43.5" x14ac:dyDescent="0.35">
      <c r="A2879" s="5" t="s">
        <v>8</v>
      </c>
      <c r="B2879" s="5" t="s">
        <v>16</v>
      </c>
      <c r="C2879" s="5" t="s">
        <v>409</v>
      </c>
      <c r="D2879" s="5" t="s">
        <v>35</v>
      </c>
      <c r="E2879" s="5" t="s">
        <v>128</v>
      </c>
      <c r="F2879" s="5" t="s">
        <v>129</v>
      </c>
      <c r="G2879" s="5" t="s">
        <v>401</v>
      </c>
      <c r="H2879" s="5" t="s">
        <v>410</v>
      </c>
      <c r="I2879" s="5" t="s">
        <v>63</v>
      </c>
      <c r="J2879" s="5">
        <v>16.997444720185001</v>
      </c>
      <c r="K2879" s="5">
        <v>-97.511013341104004</v>
      </c>
      <c r="L2879" s="5" t="str">
        <f>HYPERLINK("https://maps.google.com/?q=16.9974447201845,-97.511013341104402", "🔗 Ver Mapa")</f>
        <v>🔗 Ver Mapa</v>
      </c>
    </row>
    <row r="2880" spans="1:12" ht="43.5" x14ac:dyDescent="0.35">
      <c r="A2880" s="6" t="s">
        <v>8</v>
      </c>
      <c r="B2880" s="6" t="s">
        <v>16</v>
      </c>
      <c r="C2880" s="6" t="s">
        <v>409</v>
      </c>
      <c r="D2880" s="6" t="s">
        <v>35</v>
      </c>
      <c r="E2880" s="6" t="s">
        <v>128</v>
      </c>
      <c r="F2880" s="6" t="s">
        <v>129</v>
      </c>
      <c r="G2880" s="6" t="s">
        <v>401</v>
      </c>
      <c r="H2880" s="6" t="s">
        <v>410</v>
      </c>
      <c r="I2880" s="6" t="s">
        <v>63</v>
      </c>
      <c r="J2880" s="6">
        <v>16.997544902706998</v>
      </c>
      <c r="K2880" s="6">
        <v>-97.511205846627007</v>
      </c>
      <c r="L2880" s="6" t="str">
        <f>HYPERLINK("https://maps.google.com/?q=16.9975449027067,-97.511205846627107", "🔗 Ver Mapa")</f>
        <v>🔗 Ver Mapa</v>
      </c>
    </row>
    <row r="2881" spans="1:12" ht="43.5" x14ac:dyDescent="0.35">
      <c r="A2881" s="5" t="s">
        <v>8</v>
      </c>
      <c r="B2881" s="5" t="s">
        <v>16</v>
      </c>
      <c r="C2881" s="5" t="s">
        <v>409</v>
      </c>
      <c r="D2881" s="5" t="s">
        <v>35</v>
      </c>
      <c r="E2881" s="5" t="s">
        <v>128</v>
      </c>
      <c r="F2881" s="5" t="s">
        <v>129</v>
      </c>
      <c r="G2881" s="5" t="s">
        <v>401</v>
      </c>
      <c r="H2881" s="5" t="s">
        <v>410</v>
      </c>
      <c r="I2881" s="5" t="s">
        <v>63</v>
      </c>
      <c r="J2881" s="5">
        <v>17.005012456949999</v>
      </c>
      <c r="K2881" s="5">
        <v>-97.511360954527007</v>
      </c>
      <c r="L2881" s="5" t="str">
        <f>HYPERLINK("https://maps.google.com/?q=17.0050124569502,-97.511360954527007", "🔗 Ver Mapa")</f>
        <v>🔗 Ver Mapa</v>
      </c>
    </row>
    <row r="2882" spans="1:12" ht="43.5" x14ac:dyDescent="0.35">
      <c r="A2882" s="6" t="s">
        <v>8</v>
      </c>
      <c r="B2882" s="6" t="s">
        <v>16</v>
      </c>
      <c r="C2882" s="6" t="s">
        <v>409</v>
      </c>
      <c r="D2882" s="6" t="s">
        <v>35</v>
      </c>
      <c r="E2882" s="6" t="s">
        <v>128</v>
      </c>
      <c r="F2882" s="6" t="s">
        <v>129</v>
      </c>
      <c r="G2882" s="6" t="s">
        <v>401</v>
      </c>
      <c r="H2882" s="6" t="s">
        <v>410</v>
      </c>
      <c r="I2882" s="6" t="s">
        <v>63</v>
      </c>
      <c r="J2882" s="6">
        <v>17.005190720239</v>
      </c>
      <c r="K2882" s="6">
        <v>-97.511827658895996</v>
      </c>
      <c r="L2882" s="6" t="str">
        <f>HYPERLINK("https://maps.google.com/?q=17.0051907202389,-97.511827658895598", "🔗 Ver Mapa")</f>
        <v>🔗 Ver Mapa</v>
      </c>
    </row>
    <row r="2883" spans="1:12" ht="43.5" x14ac:dyDescent="0.35">
      <c r="A2883" s="5" t="s">
        <v>8</v>
      </c>
      <c r="B2883" s="5" t="s">
        <v>16</v>
      </c>
      <c r="C2883" s="5" t="s">
        <v>409</v>
      </c>
      <c r="D2883" s="5" t="s">
        <v>35</v>
      </c>
      <c r="E2883" s="5" t="s">
        <v>128</v>
      </c>
      <c r="F2883" s="5" t="s">
        <v>129</v>
      </c>
      <c r="G2883" s="5" t="s">
        <v>401</v>
      </c>
      <c r="H2883" s="5" t="s">
        <v>410</v>
      </c>
      <c r="I2883" s="5" t="s">
        <v>63</v>
      </c>
      <c r="J2883" s="5">
        <v>17.005522172841001</v>
      </c>
      <c r="K2883" s="5">
        <v>-97.511462576686995</v>
      </c>
      <c r="L2883" s="5" t="str">
        <f>HYPERLINK("https://maps.google.com/?q=17.0055221728407,-97.511462576686597", "🔗 Ver Mapa")</f>
        <v>🔗 Ver Mapa</v>
      </c>
    </row>
    <row r="2884" spans="1:12" ht="43.5" x14ac:dyDescent="0.35">
      <c r="A2884" s="6" t="s">
        <v>8</v>
      </c>
      <c r="B2884" s="6" t="s">
        <v>16</v>
      </c>
      <c r="C2884" s="6" t="s">
        <v>411</v>
      </c>
      <c r="D2884" s="6" t="s">
        <v>35</v>
      </c>
      <c r="E2884" s="6" t="s">
        <v>128</v>
      </c>
      <c r="F2884" s="6" t="s">
        <v>166</v>
      </c>
      <c r="G2884" s="6" t="s">
        <v>412</v>
      </c>
      <c r="H2884" s="6" t="s">
        <v>413</v>
      </c>
      <c r="I2884" s="6" t="s">
        <v>63</v>
      </c>
      <c r="J2884" s="6">
        <v>17.3278</v>
      </c>
      <c r="K2884" s="6" t="s">
        <v>414</v>
      </c>
      <c r="L2884" s="6" t="str">
        <f>HYPERLINK("https://maps.google.com/?q=17.3278, -98.240480", "🔗 Ver Mapa")</f>
        <v>🔗 Ver Mapa</v>
      </c>
    </row>
    <row r="2885" spans="1:12" ht="43.5" x14ac:dyDescent="0.35">
      <c r="A2885" s="5" t="s">
        <v>8</v>
      </c>
      <c r="B2885" s="5" t="s">
        <v>16</v>
      </c>
      <c r="C2885" s="5" t="s">
        <v>411</v>
      </c>
      <c r="D2885" s="5" t="s">
        <v>35</v>
      </c>
      <c r="E2885" s="5" t="s">
        <v>128</v>
      </c>
      <c r="F2885" s="5" t="s">
        <v>166</v>
      </c>
      <c r="G2885" s="5" t="s">
        <v>412</v>
      </c>
      <c r="H2885" s="5" t="s">
        <v>413</v>
      </c>
      <c r="I2885" s="5" t="s">
        <v>63</v>
      </c>
      <c r="J2885" s="5">
        <v>17.319604000000002</v>
      </c>
      <c r="K2885" s="5">
        <v>-98.240093000000002</v>
      </c>
      <c r="L2885" s="5" t="str">
        <f>HYPERLINK("https://maps.google.com/?q=17.319604,-98.240093", "🔗 Ver Mapa")</f>
        <v>🔗 Ver Mapa</v>
      </c>
    </row>
    <row r="2886" spans="1:12" ht="43.5" x14ac:dyDescent="0.35">
      <c r="A2886" s="6" t="s">
        <v>8</v>
      </c>
      <c r="B2886" s="6" t="s">
        <v>16</v>
      </c>
      <c r="C2886" s="6" t="s">
        <v>411</v>
      </c>
      <c r="D2886" s="6" t="s">
        <v>35</v>
      </c>
      <c r="E2886" s="6" t="s">
        <v>128</v>
      </c>
      <c r="F2886" s="6" t="s">
        <v>166</v>
      </c>
      <c r="G2886" s="6" t="s">
        <v>412</v>
      </c>
      <c r="H2886" s="6" t="s">
        <v>413</v>
      </c>
      <c r="I2886" s="6" t="s">
        <v>63</v>
      </c>
      <c r="J2886" s="6">
        <v>17.319655000000001</v>
      </c>
      <c r="K2886" s="6">
        <v>-98.240219999999994</v>
      </c>
      <c r="L2886" s="6" t="str">
        <f>HYPERLINK("https://maps.google.com/?q=17.319655,-98.240220", "🔗 Ver Mapa")</f>
        <v>🔗 Ver Mapa</v>
      </c>
    </row>
    <row r="2887" spans="1:12" ht="43.5" x14ac:dyDescent="0.35">
      <c r="A2887" s="5" t="s">
        <v>8</v>
      </c>
      <c r="B2887" s="5" t="s">
        <v>16</v>
      </c>
      <c r="C2887" s="5" t="s">
        <v>411</v>
      </c>
      <c r="D2887" s="5" t="s">
        <v>35</v>
      </c>
      <c r="E2887" s="5" t="s">
        <v>128</v>
      </c>
      <c r="F2887" s="5" t="s">
        <v>166</v>
      </c>
      <c r="G2887" s="5" t="s">
        <v>412</v>
      </c>
      <c r="H2887" s="5" t="s">
        <v>413</v>
      </c>
      <c r="I2887" s="5" t="s">
        <v>63</v>
      </c>
      <c r="J2887" s="5">
        <v>17.319676999999999</v>
      </c>
      <c r="K2887" s="5">
        <v>-98.241198999999995</v>
      </c>
      <c r="L2887" s="5" t="str">
        <f>HYPERLINK("https://maps.google.com/?q=17.319677,-98.241198999999995", "🔗 Ver Mapa")</f>
        <v>🔗 Ver Mapa</v>
      </c>
    </row>
    <row r="2888" spans="1:12" ht="43.5" x14ac:dyDescent="0.35">
      <c r="A2888" s="6" t="s">
        <v>8</v>
      </c>
      <c r="B2888" s="6" t="s">
        <v>16</v>
      </c>
      <c r="C2888" s="6" t="s">
        <v>411</v>
      </c>
      <c r="D2888" s="6" t="s">
        <v>35</v>
      </c>
      <c r="E2888" s="6" t="s">
        <v>128</v>
      </c>
      <c r="F2888" s="6" t="s">
        <v>166</v>
      </c>
      <c r="G2888" s="6" t="s">
        <v>412</v>
      </c>
      <c r="H2888" s="6" t="s">
        <v>413</v>
      </c>
      <c r="I2888" s="6" t="s">
        <v>63</v>
      </c>
      <c r="J2888" s="6">
        <v>17.319754</v>
      </c>
      <c r="K2888" s="6">
        <v>-98.240790000000004</v>
      </c>
      <c r="L2888" s="6" t="str">
        <f>HYPERLINK("https://maps.google.com/?q=17.319754,-98.24079", "🔗 Ver Mapa")</f>
        <v>🔗 Ver Mapa</v>
      </c>
    </row>
    <row r="2889" spans="1:12" ht="43.5" x14ac:dyDescent="0.35">
      <c r="A2889" s="5" t="s">
        <v>8</v>
      </c>
      <c r="B2889" s="5" t="s">
        <v>16</v>
      </c>
      <c r="C2889" s="5" t="s">
        <v>411</v>
      </c>
      <c r="D2889" s="5" t="s">
        <v>35</v>
      </c>
      <c r="E2889" s="5" t="s">
        <v>128</v>
      </c>
      <c r="F2889" s="5" t="s">
        <v>166</v>
      </c>
      <c r="G2889" s="5" t="s">
        <v>412</v>
      </c>
      <c r="H2889" s="5" t="s">
        <v>413</v>
      </c>
      <c r="I2889" s="5" t="s">
        <v>63</v>
      </c>
      <c r="J2889" s="5">
        <v>17.319763999999999</v>
      </c>
      <c r="K2889" s="5">
        <v>-98.240077999999997</v>
      </c>
      <c r="L2889" s="5" t="str">
        <f>HYPERLINK("https://maps.google.com/?q=17.319764,-98.240077999999997", "🔗 Ver Mapa")</f>
        <v>🔗 Ver Mapa</v>
      </c>
    </row>
    <row r="2890" spans="1:12" ht="43.5" x14ac:dyDescent="0.35">
      <c r="A2890" s="6" t="s">
        <v>8</v>
      </c>
      <c r="B2890" s="6" t="s">
        <v>16</v>
      </c>
      <c r="C2890" s="6" t="s">
        <v>411</v>
      </c>
      <c r="D2890" s="6" t="s">
        <v>35</v>
      </c>
      <c r="E2890" s="6" t="s">
        <v>128</v>
      </c>
      <c r="F2890" s="6" t="s">
        <v>166</v>
      </c>
      <c r="G2890" s="6" t="s">
        <v>412</v>
      </c>
      <c r="H2890" s="6" t="s">
        <v>413</v>
      </c>
      <c r="I2890" s="6" t="s">
        <v>63</v>
      </c>
      <c r="J2890" s="6">
        <v>17.319911999999999</v>
      </c>
      <c r="K2890" s="6">
        <v>-98.239016000000007</v>
      </c>
      <c r="L2890" s="6" t="str">
        <f>HYPERLINK("https://maps.google.com/?q=17.319912,-98.239016000000007", "🔗 Ver Mapa")</f>
        <v>🔗 Ver Mapa</v>
      </c>
    </row>
    <row r="2891" spans="1:12" ht="43.5" x14ac:dyDescent="0.35">
      <c r="A2891" s="5" t="s">
        <v>8</v>
      </c>
      <c r="B2891" s="5" t="s">
        <v>16</v>
      </c>
      <c r="C2891" s="5" t="s">
        <v>411</v>
      </c>
      <c r="D2891" s="5" t="s">
        <v>35</v>
      </c>
      <c r="E2891" s="5" t="s">
        <v>128</v>
      </c>
      <c r="F2891" s="5" t="s">
        <v>166</v>
      </c>
      <c r="G2891" s="5" t="s">
        <v>412</v>
      </c>
      <c r="H2891" s="5" t="s">
        <v>413</v>
      </c>
      <c r="I2891" s="5" t="s">
        <v>63</v>
      </c>
      <c r="J2891" s="5">
        <v>17.319991999999999</v>
      </c>
      <c r="K2891" s="5">
        <v>-98.241552999999996</v>
      </c>
      <c r="L2891" s="5" t="str">
        <f>HYPERLINK("https://maps.google.com/?q=17.319992,-98.241552999999996", "🔗 Ver Mapa")</f>
        <v>🔗 Ver Mapa</v>
      </c>
    </row>
    <row r="2892" spans="1:12" ht="43.5" x14ac:dyDescent="0.35">
      <c r="A2892" s="6" t="s">
        <v>8</v>
      </c>
      <c r="B2892" s="6" t="s">
        <v>16</v>
      </c>
      <c r="C2892" s="6" t="s">
        <v>411</v>
      </c>
      <c r="D2892" s="6" t="s">
        <v>35</v>
      </c>
      <c r="E2892" s="6" t="s">
        <v>128</v>
      </c>
      <c r="F2892" s="6" t="s">
        <v>166</v>
      </c>
      <c r="G2892" s="6" t="s">
        <v>412</v>
      </c>
      <c r="H2892" s="6" t="s">
        <v>413</v>
      </c>
      <c r="I2892" s="6" t="s">
        <v>63</v>
      </c>
      <c r="J2892" s="6">
        <v>17.320110277585002</v>
      </c>
      <c r="K2892" s="6">
        <v>-98.240365999999995</v>
      </c>
      <c r="L2892" s="6" t="str">
        <f>HYPERLINK("https://maps.google.com/?q=17.3201102775855,-98.240366", "🔗 Ver Mapa")</f>
        <v>🔗 Ver Mapa</v>
      </c>
    </row>
    <row r="2893" spans="1:12" ht="43.5" x14ac:dyDescent="0.35">
      <c r="A2893" s="5" t="s">
        <v>8</v>
      </c>
      <c r="B2893" s="5" t="s">
        <v>16</v>
      </c>
      <c r="C2893" s="5" t="s">
        <v>411</v>
      </c>
      <c r="D2893" s="5" t="s">
        <v>35</v>
      </c>
      <c r="E2893" s="5" t="s">
        <v>128</v>
      </c>
      <c r="F2893" s="5" t="s">
        <v>166</v>
      </c>
      <c r="G2893" s="5" t="s">
        <v>412</v>
      </c>
      <c r="H2893" s="5" t="s">
        <v>413</v>
      </c>
      <c r="I2893" s="5" t="s">
        <v>63</v>
      </c>
      <c r="J2893" s="5">
        <v>17.320163999999998</v>
      </c>
      <c r="K2893" s="5" t="s">
        <v>415</v>
      </c>
      <c r="L2893" s="5" t="str">
        <f>HYPERLINK("https://maps.google.com/?q=17.320164, -98.239058", "🔗 Ver Mapa")</f>
        <v>🔗 Ver Mapa</v>
      </c>
    </row>
    <row r="2894" spans="1:12" ht="43.5" x14ac:dyDescent="0.35">
      <c r="A2894" s="6" t="s">
        <v>8</v>
      </c>
      <c r="B2894" s="6" t="s">
        <v>16</v>
      </c>
      <c r="C2894" s="6" t="s">
        <v>411</v>
      </c>
      <c r="D2894" s="6" t="s">
        <v>35</v>
      </c>
      <c r="E2894" s="6" t="s">
        <v>128</v>
      </c>
      <c r="F2894" s="6" t="s">
        <v>166</v>
      </c>
      <c r="G2894" s="6" t="s">
        <v>412</v>
      </c>
      <c r="H2894" s="6" t="s">
        <v>413</v>
      </c>
      <c r="I2894" s="6" t="s">
        <v>63</v>
      </c>
      <c r="J2894" s="6">
        <v>17.320236999999999</v>
      </c>
      <c r="K2894" s="6">
        <v>-98.239305000000002</v>
      </c>
      <c r="L2894" s="6" t="str">
        <f>HYPERLINK("https://maps.google.com/?q=17.320237,-98.239305000000002", "🔗 Ver Mapa")</f>
        <v>🔗 Ver Mapa</v>
      </c>
    </row>
    <row r="2895" spans="1:12" ht="43.5" x14ac:dyDescent="0.35">
      <c r="A2895" s="5" t="s">
        <v>8</v>
      </c>
      <c r="B2895" s="5" t="s">
        <v>16</v>
      </c>
      <c r="C2895" s="5" t="s">
        <v>411</v>
      </c>
      <c r="D2895" s="5" t="s">
        <v>35</v>
      </c>
      <c r="E2895" s="5" t="s">
        <v>128</v>
      </c>
      <c r="F2895" s="5" t="s">
        <v>166</v>
      </c>
      <c r="G2895" s="5" t="s">
        <v>412</v>
      </c>
      <c r="H2895" s="5" t="s">
        <v>413</v>
      </c>
      <c r="I2895" s="5" t="s">
        <v>63</v>
      </c>
      <c r="J2895" s="5">
        <v>17.320314</v>
      </c>
      <c r="K2895" s="5">
        <v>-98.239339000000001</v>
      </c>
      <c r="L2895" s="5" t="str">
        <f>HYPERLINK("https://maps.google.com/?q=17.320314,-98.239339000000001", "🔗 Ver Mapa")</f>
        <v>🔗 Ver Mapa</v>
      </c>
    </row>
    <row r="2896" spans="1:12" ht="43.5" x14ac:dyDescent="0.35">
      <c r="A2896" s="6" t="s">
        <v>8</v>
      </c>
      <c r="B2896" s="6" t="s">
        <v>16</v>
      </c>
      <c r="C2896" s="6" t="s">
        <v>411</v>
      </c>
      <c r="D2896" s="6" t="s">
        <v>35</v>
      </c>
      <c r="E2896" s="6" t="s">
        <v>128</v>
      </c>
      <c r="F2896" s="6" t="s">
        <v>166</v>
      </c>
      <c r="G2896" s="6" t="s">
        <v>412</v>
      </c>
      <c r="H2896" s="6" t="s">
        <v>413</v>
      </c>
      <c r="I2896" s="6" t="s">
        <v>63</v>
      </c>
      <c r="J2896" s="6">
        <v>17.320406999999999</v>
      </c>
      <c r="K2896" s="6">
        <v>-98.238989000000004</v>
      </c>
      <c r="L2896" s="6" t="str">
        <f>HYPERLINK("https://maps.google.com/?q=17.320407,-98.238989000000004", "🔗 Ver Mapa")</f>
        <v>🔗 Ver Mapa</v>
      </c>
    </row>
    <row r="2897" spans="1:12" ht="43.5" x14ac:dyDescent="0.35">
      <c r="A2897" s="5" t="s">
        <v>8</v>
      </c>
      <c r="B2897" s="5" t="s">
        <v>16</v>
      </c>
      <c r="C2897" s="5" t="s">
        <v>411</v>
      </c>
      <c r="D2897" s="5" t="s">
        <v>35</v>
      </c>
      <c r="E2897" s="5" t="s">
        <v>128</v>
      </c>
      <c r="F2897" s="5" t="s">
        <v>166</v>
      </c>
      <c r="G2897" s="5" t="s">
        <v>412</v>
      </c>
      <c r="H2897" s="5" t="s">
        <v>413</v>
      </c>
      <c r="I2897" s="5" t="s">
        <v>63</v>
      </c>
      <c r="J2897" s="5">
        <v>17.320425</v>
      </c>
      <c r="K2897" s="5">
        <v>-98.239564000000001</v>
      </c>
      <c r="L2897" s="5" t="str">
        <f>HYPERLINK("https://maps.google.com/?q=17.320425,-98.239564000000001", "🔗 Ver Mapa")</f>
        <v>🔗 Ver Mapa</v>
      </c>
    </row>
    <row r="2898" spans="1:12" ht="43.5" x14ac:dyDescent="0.35">
      <c r="A2898" s="6" t="s">
        <v>8</v>
      </c>
      <c r="B2898" s="6" t="s">
        <v>16</v>
      </c>
      <c r="C2898" s="6" t="s">
        <v>411</v>
      </c>
      <c r="D2898" s="6" t="s">
        <v>35</v>
      </c>
      <c r="E2898" s="6" t="s">
        <v>128</v>
      </c>
      <c r="F2898" s="6" t="s">
        <v>166</v>
      </c>
      <c r="G2898" s="6" t="s">
        <v>412</v>
      </c>
      <c r="H2898" s="6" t="s">
        <v>413</v>
      </c>
      <c r="I2898" s="6" t="s">
        <v>63</v>
      </c>
      <c r="J2898" s="6">
        <v>17.320526000000001</v>
      </c>
      <c r="K2898" s="6">
        <v>-98.238685000000004</v>
      </c>
      <c r="L2898" s="6" t="str">
        <f>HYPERLINK("https://maps.google.com/?q=17.320526,-98.238685", "🔗 Ver Mapa")</f>
        <v>🔗 Ver Mapa</v>
      </c>
    </row>
    <row r="2899" spans="1:12" ht="43.5" x14ac:dyDescent="0.35">
      <c r="A2899" s="5" t="s">
        <v>8</v>
      </c>
      <c r="B2899" s="5" t="s">
        <v>16</v>
      </c>
      <c r="C2899" s="5" t="s">
        <v>411</v>
      </c>
      <c r="D2899" s="5" t="s">
        <v>35</v>
      </c>
      <c r="E2899" s="5" t="s">
        <v>128</v>
      </c>
      <c r="F2899" s="5" t="s">
        <v>166</v>
      </c>
      <c r="G2899" s="5" t="s">
        <v>412</v>
      </c>
      <c r="H2899" s="5" t="s">
        <v>413</v>
      </c>
      <c r="I2899" s="5" t="s">
        <v>63</v>
      </c>
      <c r="J2899" s="5">
        <v>17.320603897933001</v>
      </c>
      <c r="K2899" s="5">
        <v>-98.238013414533995</v>
      </c>
      <c r="L2899" s="5" t="str">
        <f>HYPERLINK("https://maps.google.com/?q=17.3206038979326,-98.2380134145336", "🔗 Ver Mapa")</f>
        <v>🔗 Ver Mapa</v>
      </c>
    </row>
    <row r="2900" spans="1:12" ht="43.5" x14ac:dyDescent="0.35">
      <c r="A2900" s="6" t="s">
        <v>8</v>
      </c>
      <c r="B2900" s="6" t="s">
        <v>16</v>
      </c>
      <c r="C2900" s="6" t="s">
        <v>411</v>
      </c>
      <c r="D2900" s="6" t="s">
        <v>35</v>
      </c>
      <c r="E2900" s="6" t="s">
        <v>128</v>
      </c>
      <c r="F2900" s="6" t="s">
        <v>166</v>
      </c>
      <c r="G2900" s="6" t="s">
        <v>412</v>
      </c>
      <c r="H2900" s="6" t="s">
        <v>413</v>
      </c>
      <c r="I2900" s="6" t="s">
        <v>63</v>
      </c>
      <c r="J2900" s="6">
        <v>17.320727999999999</v>
      </c>
      <c r="K2900" s="6">
        <v>-98.238843000000003</v>
      </c>
      <c r="L2900" s="6" t="str">
        <f>HYPERLINK("https://maps.google.com/?q=17.320728,-98.238843000000003", "🔗 Ver Mapa")</f>
        <v>🔗 Ver Mapa</v>
      </c>
    </row>
    <row r="2901" spans="1:12" ht="43.5" x14ac:dyDescent="0.35">
      <c r="A2901" s="5" t="s">
        <v>8</v>
      </c>
      <c r="B2901" s="5" t="s">
        <v>16</v>
      </c>
      <c r="C2901" s="5" t="s">
        <v>411</v>
      </c>
      <c r="D2901" s="5" t="s">
        <v>35</v>
      </c>
      <c r="E2901" s="5" t="s">
        <v>128</v>
      </c>
      <c r="F2901" s="5" t="s">
        <v>166</v>
      </c>
      <c r="G2901" s="5" t="s">
        <v>412</v>
      </c>
      <c r="H2901" s="5" t="s">
        <v>413</v>
      </c>
      <c r="I2901" s="5" t="s">
        <v>63</v>
      </c>
      <c r="J2901" s="5">
        <v>17.321318492307</v>
      </c>
      <c r="K2901" s="5">
        <v>-98.237932029199996</v>
      </c>
      <c r="L2901" s="5" t="str">
        <f>HYPERLINK("https://maps.google.com/?q=17.3213184923067,-98.2379320292005", "🔗 Ver Mapa")</f>
        <v>🔗 Ver Mapa</v>
      </c>
    </row>
    <row r="2902" spans="1:12" ht="43.5" x14ac:dyDescent="0.35">
      <c r="A2902" s="6" t="s">
        <v>8</v>
      </c>
      <c r="B2902" s="6" t="s">
        <v>16</v>
      </c>
      <c r="C2902" s="6" t="s">
        <v>411</v>
      </c>
      <c r="D2902" s="6" t="s">
        <v>35</v>
      </c>
      <c r="E2902" s="6" t="s">
        <v>128</v>
      </c>
      <c r="F2902" s="6" t="s">
        <v>166</v>
      </c>
      <c r="G2902" s="6" t="s">
        <v>412</v>
      </c>
      <c r="H2902" s="6" t="s">
        <v>413</v>
      </c>
      <c r="I2902" s="6" t="s">
        <v>63</v>
      </c>
      <c r="J2902" s="6">
        <v>17.321339654012</v>
      </c>
      <c r="K2902" s="6">
        <v>-98.238954885035994</v>
      </c>
      <c r="L2902" s="6" t="str">
        <f>HYPERLINK("https://maps.google.com/?q=17.3213396540118,-98.2389548850359", "🔗 Ver Mapa")</f>
        <v>🔗 Ver Mapa</v>
      </c>
    </row>
    <row r="2903" spans="1:12" ht="43.5" x14ac:dyDescent="0.35">
      <c r="A2903" s="5" t="s">
        <v>8</v>
      </c>
      <c r="B2903" s="5" t="s">
        <v>16</v>
      </c>
      <c r="C2903" s="5" t="s">
        <v>411</v>
      </c>
      <c r="D2903" s="5" t="s">
        <v>35</v>
      </c>
      <c r="E2903" s="5" t="s">
        <v>128</v>
      </c>
      <c r="F2903" s="5" t="s">
        <v>166</v>
      </c>
      <c r="G2903" s="5" t="s">
        <v>412</v>
      </c>
      <c r="H2903" s="5" t="s">
        <v>413</v>
      </c>
      <c r="I2903" s="5" t="s">
        <v>63</v>
      </c>
      <c r="J2903" s="5">
        <v>17.321389</v>
      </c>
      <c r="K2903" s="5">
        <v>-98.239155999999994</v>
      </c>
      <c r="L2903" s="5" t="str">
        <f>HYPERLINK("https://maps.google.com/?q=17.321389,-98.239156", "🔗 Ver Mapa")</f>
        <v>🔗 Ver Mapa</v>
      </c>
    </row>
    <row r="2904" spans="1:12" ht="43.5" x14ac:dyDescent="0.35">
      <c r="A2904" s="6" t="s">
        <v>8</v>
      </c>
      <c r="B2904" s="6" t="s">
        <v>16</v>
      </c>
      <c r="C2904" s="6" t="s">
        <v>411</v>
      </c>
      <c r="D2904" s="6" t="s">
        <v>35</v>
      </c>
      <c r="E2904" s="6" t="s">
        <v>128</v>
      </c>
      <c r="F2904" s="6" t="s">
        <v>166</v>
      </c>
      <c r="G2904" s="6" t="s">
        <v>412</v>
      </c>
      <c r="H2904" s="6" t="s">
        <v>413</v>
      </c>
      <c r="I2904" s="6" t="s">
        <v>63</v>
      </c>
      <c r="J2904" s="6">
        <v>17.321572826229001</v>
      </c>
      <c r="K2904" s="6">
        <v>-98.241433951735004</v>
      </c>
      <c r="L2904" s="6" t="str">
        <f>HYPERLINK("https://maps.google.com/?q=17.3215728262287,-98.2414339517354", "🔗 Ver Mapa")</f>
        <v>🔗 Ver Mapa</v>
      </c>
    </row>
    <row r="2905" spans="1:12" ht="43.5" x14ac:dyDescent="0.35">
      <c r="A2905" s="5" t="s">
        <v>8</v>
      </c>
      <c r="B2905" s="5" t="s">
        <v>16</v>
      </c>
      <c r="C2905" s="5" t="s">
        <v>411</v>
      </c>
      <c r="D2905" s="5" t="s">
        <v>35</v>
      </c>
      <c r="E2905" s="5" t="s">
        <v>128</v>
      </c>
      <c r="F2905" s="5" t="s">
        <v>166</v>
      </c>
      <c r="G2905" s="5" t="s">
        <v>412</v>
      </c>
      <c r="H2905" s="5" t="s">
        <v>413</v>
      </c>
      <c r="I2905" s="5" t="s">
        <v>63</v>
      </c>
      <c r="J2905" s="5">
        <v>17.321949</v>
      </c>
      <c r="K2905" s="5">
        <v>-98.238225</v>
      </c>
      <c r="L2905" s="5" t="str">
        <f>HYPERLINK("https://maps.google.com/?q=17.321949,-98.238225", "🔗 Ver Mapa")</f>
        <v>🔗 Ver Mapa</v>
      </c>
    </row>
    <row r="2906" spans="1:12" ht="43.5" x14ac:dyDescent="0.35">
      <c r="A2906" s="6" t="s">
        <v>8</v>
      </c>
      <c r="B2906" s="6" t="s">
        <v>16</v>
      </c>
      <c r="C2906" s="6" t="s">
        <v>411</v>
      </c>
      <c r="D2906" s="6" t="s">
        <v>35</v>
      </c>
      <c r="E2906" s="6" t="s">
        <v>128</v>
      </c>
      <c r="F2906" s="6" t="s">
        <v>166</v>
      </c>
      <c r="G2906" s="6" t="s">
        <v>412</v>
      </c>
      <c r="H2906" s="6" t="s">
        <v>413</v>
      </c>
      <c r="I2906" s="6" t="s">
        <v>63</v>
      </c>
      <c r="J2906" s="6">
        <v>17.322541999999999</v>
      </c>
      <c r="K2906" s="6">
        <v>-98.238269000000003</v>
      </c>
      <c r="L2906" s="6" t="str">
        <f>HYPERLINK("https://maps.google.com/?q=17.322542,-98.238269000000003", "🔗 Ver Mapa")</f>
        <v>🔗 Ver Mapa</v>
      </c>
    </row>
    <row r="2907" spans="1:12" ht="43.5" x14ac:dyDescent="0.35">
      <c r="A2907" s="5" t="s">
        <v>8</v>
      </c>
      <c r="B2907" s="5" t="s">
        <v>16</v>
      </c>
      <c r="C2907" s="5" t="s">
        <v>411</v>
      </c>
      <c r="D2907" s="5" t="s">
        <v>35</v>
      </c>
      <c r="E2907" s="5" t="s">
        <v>128</v>
      </c>
      <c r="F2907" s="5" t="s">
        <v>166</v>
      </c>
      <c r="G2907" s="5" t="s">
        <v>412</v>
      </c>
      <c r="H2907" s="5" t="s">
        <v>413</v>
      </c>
      <c r="I2907" s="5" t="s">
        <v>63</v>
      </c>
      <c r="J2907" s="5">
        <v>17.322626</v>
      </c>
      <c r="K2907" s="5" t="s">
        <v>416</v>
      </c>
      <c r="L2907" s="5" t="str">
        <f>HYPERLINK("https://maps.google.com/?q=17.322626, -98.239214", "🔗 Ver Mapa")</f>
        <v>🔗 Ver Mapa</v>
      </c>
    </row>
    <row r="2908" spans="1:12" ht="43.5" x14ac:dyDescent="0.35">
      <c r="A2908" s="6" t="s">
        <v>8</v>
      </c>
      <c r="B2908" s="6" t="s">
        <v>16</v>
      </c>
      <c r="C2908" s="6" t="s">
        <v>411</v>
      </c>
      <c r="D2908" s="6" t="s">
        <v>35</v>
      </c>
      <c r="E2908" s="6" t="s">
        <v>128</v>
      </c>
      <c r="F2908" s="6" t="s">
        <v>166</v>
      </c>
      <c r="G2908" s="6" t="s">
        <v>412</v>
      </c>
      <c r="H2908" s="6" t="s">
        <v>413</v>
      </c>
      <c r="I2908" s="6" t="s">
        <v>63</v>
      </c>
      <c r="J2908" s="6">
        <v>17.322633</v>
      </c>
      <c r="K2908" s="6">
        <v>-98.239839000000003</v>
      </c>
      <c r="L2908" s="6" t="str">
        <f>HYPERLINK("https://maps.google.com/?q=17.322633,-98.239839000000003", "🔗 Ver Mapa")</f>
        <v>🔗 Ver Mapa</v>
      </c>
    </row>
    <row r="2909" spans="1:12" ht="43.5" x14ac:dyDescent="0.35">
      <c r="A2909" s="5" t="s">
        <v>8</v>
      </c>
      <c r="B2909" s="5" t="s">
        <v>16</v>
      </c>
      <c r="C2909" s="5" t="s">
        <v>411</v>
      </c>
      <c r="D2909" s="5" t="s">
        <v>35</v>
      </c>
      <c r="E2909" s="5" t="s">
        <v>128</v>
      </c>
      <c r="F2909" s="5" t="s">
        <v>166</v>
      </c>
      <c r="G2909" s="5" t="s">
        <v>412</v>
      </c>
      <c r="H2909" s="5" t="s">
        <v>413</v>
      </c>
      <c r="I2909" s="5" t="s">
        <v>63</v>
      </c>
      <c r="J2909" s="5">
        <v>17.322772000000001</v>
      </c>
      <c r="K2909" s="5">
        <v>-98.237820999999997</v>
      </c>
      <c r="L2909" s="5" t="str">
        <f>HYPERLINK("https://maps.google.com/?q=17.322772,-98.237820999999997", "🔗 Ver Mapa")</f>
        <v>🔗 Ver Mapa</v>
      </c>
    </row>
    <row r="2910" spans="1:12" ht="43.5" x14ac:dyDescent="0.35">
      <c r="A2910" s="6" t="s">
        <v>8</v>
      </c>
      <c r="B2910" s="6" t="s">
        <v>16</v>
      </c>
      <c r="C2910" s="6" t="s">
        <v>411</v>
      </c>
      <c r="D2910" s="6" t="s">
        <v>35</v>
      </c>
      <c r="E2910" s="6" t="s">
        <v>128</v>
      </c>
      <c r="F2910" s="6" t="s">
        <v>166</v>
      </c>
      <c r="G2910" s="6" t="s">
        <v>412</v>
      </c>
      <c r="H2910" s="6" t="s">
        <v>413</v>
      </c>
      <c r="I2910" s="6" t="s">
        <v>63</v>
      </c>
      <c r="J2910" s="6">
        <v>17.323353000000001</v>
      </c>
      <c r="K2910" s="6">
        <v>-98.238220999999996</v>
      </c>
      <c r="L2910" s="6" t="str">
        <f>HYPERLINK("https://maps.google.com/?q=17.323353,-98.238220999999996", "🔗 Ver Mapa")</f>
        <v>🔗 Ver Mapa</v>
      </c>
    </row>
    <row r="2911" spans="1:12" ht="43.5" x14ac:dyDescent="0.35">
      <c r="A2911" s="5" t="s">
        <v>8</v>
      </c>
      <c r="B2911" s="5" t="s">
        <v>16</v>
      </c>
      <c r="C2911" s="5" t="s">
        <v>411</v>
      </c>
      <c r="D2911" s="5" t="s">
        <v>35</v>
      </c>
      <c r="E2911" s="5" t="s">
        <v>128</v>
      </c>
      <c r="F2911" s="5" t="s">
        <v>166</v>
      </c>
      <c r="G2911" s="5" t="s">
        <v>412</v>
      </c>
      <c r="H2911" s="5" t="s">
        <v>413</v>
      </c>
      <c r="I2911" s="5" t="s">
        <v>63</v>
      </c>
      <c r="J2911" s="5">
        <v>17.323383</v>
      </c>
      <c r="K2911" s="5">
        <v>-98.240427999999994</v>
      </c>
      <c r="L2911" s="5" t="str">
        <f>HYPERLINK("https://maps.google.com/?q=17.323383,-98.240427999999994", "🔗 Ver Mapa")</f>
        <v>🔗 Ver Mapa</v>
      </c>
    </row>
    <row r="2912" spans="1:12" ht="43.5" x14ac:dyDescent="0.35">
      <c r="A2912" s="6" t="s">
        <v>8</v>
      </c>
      <c r="B2912" s="6" t="s">
        <v>16</v>
      </c>
      <c r="C2912" s="6" t="s">
        <v>411</v>
      </c>
      <c r="D2912" s="6" t="s">
        <v>35</v>
      </c>
      <c r="E2912" s="6" t="s">
        <v>128</v>
      </c>
      <c r="F2912" s="6" t="s">
        <v>166</v>
      </c>
      <c r="G2912" s="6" t="s">
        <v>412</v>
      </c>
      <c r="H2912" s="6" t="s">
        <v>413</v>
      </c>
      <c r="I2912" s="6" t="s">
        <v>63</v>
      </c>
      <c r="J2912" s="6">
        <v>17.324248000000001</v>
      </c>
      <c r="K2912" s="6">
        <v>-98.240551999999994</v>
      </c>
      <c r="L2912" s="6" t="str">
        <f>HYPERLINK("https://maps.google.com/?q=17.324248,-98.240551999999994", "🔗 Ver Mapa")</f>
        <v>🔗 Ver Mapa</v>
      </c>
    </row>
    <row r="2913" spans="1:12" ht="43.5" x14ac:dyDescent="0.35">
      <c r="A2913" s="5" t="s">
        <v>8</v>
      </c>
      <c r="B2913" s="5" t="s">
        <v>16</v>
      </c>
      <c r="C2913" s="5" t="s">
        <v>411</v>
      </c>
      <c r="D2913" s="5" t="s">
        <v>35</v>
      </c>
      <c r="E2913" s="5" t="s">
        <v>128</v>
      </c>
      <c r="F2913" s="5" t="s">
        <v>166</v>
      </c>
      <c r="G2913" s="5" t="s">
        <v>412</v>
      </c>
      <c r="H2913" s="5" t="s">
        <v>413</v>
      </c>
      <c r="I2913" s="5" t="s">
        <v>63</v>
      </c>
      <c r="J2913" s="5">
        <v>17.324287999999999</v>
      </c>
      <c r="K2913" s="5">
        <v>-98.240200999999999</v>
      </c>
      <c r="L2913" s="5" t="str">
        <f>HYPERLINK("https://maps.google.com/?q=17.324288,-98.240200999999999", "🔗 Ver Mapa")</f>
        <v>🔗 Ver Mapa</v>
      </c>
    </row>
    <row r="2914" spans="1:12" ht="43.5" x14ac:dyDescent="0.35">
      <c r="A2914" s="6" t="s">
        <v>8</v>
      </c>
      <c r="B2914" s="6" t="s">
        <v>16</v>
      </c>
      <c r="C2914" s="6" t="s">
        <v>411</v>
      </c>
      <c r="D2914" s="6" t="s">
        <v>35</v>
      </c>
      <c r="E2914" s="6" t="s">
        <v>128</v>
      </c>
      <c r="F2914" s="6" t="s">
        <v>166</v>
      </c>
      <c r="G2914" s="6" t="s">
        <v>412</v>
      </c>
      <c r="H2914" s="6" t="s">
        <v>413</v>
      </c>
      <c r="I2914" s="6" t="s">
        <v>63</v>
      </c>
      <c r="J2914" s="6">
        <v>17.324515000000002</v>
      </c>
      <c r="K2914" s="6">
        <v>-98.238444000000001</v>
      </c>
      <c r="L2914" s="6" t="str">
        <f>HYPERLINK("https://maps.google.com/?q=17.324515,-98.238444000000001", "🔗 Ver Mapa")</f>
        <v>🔗 Ver Mapa</v>
      </c>
    </row>
    <row r="2915" spans="1:12" ht="43.5" x14ac:dyDescent="0.35">
      <c r="A2915" s="5" t="s">
        <v>8</v>
      </c>
      <c r="B2915" s="5" t="s">
        <v>16</v>
      </c>
      <c r="C2915" s="5" t="s">
        <v>411</v>
      </c>
      <c r="D2915" s="5" t="s">
        <v>35</v>
      </c>
      <c r="E2915" s="5" t="s">
        <v>128</v>
      </c>
      <c r="F2915" s="5" t="s">
        <v>166</v>
      </c>
      <c r="G2915" s="5" t="s">
        <v>412</v>
      </c>
      <c r="H2915" s="5" t="s">
        <v>413</v>
      </c>
      <c r="I2915" s="5" t="s">
        <v>63</v>
      </c>
      <c r="J2915" s="5">
        <v>17.325366512277</v>
      </c>
      <c r="K2915" s="5">
        <v>-98.240387570248998</v>
      </c>
      <c r="L2915" s="5" t="str">
        <f>HYPERLINK("https://maps.google.com/?q=17.3253665122766,-98.2403875702488", "🔗 Ver Mapa")</f>
        <v>🔗 Ver Mapa</v>
      </c>
    </row>
    <row r="2916" spans="1:12" ht="43.5" x14ac:dyDescent="0.35">
      <c r="A2916" s="6" t="s">
        <v>8</v>
      </c>
      <c r="B2916" s="6" t="s">
        <v>16</v>
      </c>
      <c r="C2916" s="6" t="s">
        <v>411</v>
      </c>
      <c r="D2916" s="6" t="s">
        <v>35</v>
      </c>
      <c r="E2916" s="6" t="s">
        <v>128</v>
      </c>
      <c r="F2916" s="6" t="s">
        <v>166</v>
      </c>
      <c r="G2916" s="6" t="s">
        <v>412</v>
      </c>
      <c r="H2916" s="6" t="s">
        <v>413</v>
      </c>
      <c r="I2916" s="6" t="s">
        <v>63</v>
      </c>
      <c r="J2916" s="6">
        <v>17.325539506230999</v>
      </c>
      <c r="K2916" s="6">
        <v>-98.240522195200001</v>
      </c>
      <c r="L2916" s="6" t="str">
        <f>HYPERLINK("https://maps.google.com/?q=17.3255395062312,-98.2405221951997", "🔗 Ver Mapa")</f>
        <v>🔗 Ver Mapa</v>
      </c>
    </row>
    <row r="2917" spans="1:12" ht="43.5" x14ac:dyDescent="0.35">
      <c r="A2917" s="5" t="s">
        <v>8</v>
      </c>
      <c r="B2917" s="5" t="s">
        <v>16</v>
      </c>
      <c r="C2917" s="5" t="s">
        <v>417</v>
      </c>
      <c r="D2917" s="5" t="s">
        <v>35</v>
      </c>
      <c r="E2917" s="5" t="s">
        <v>128</v>
      </c>
      <c r="F2917" s="5" t="s">
        <v>166</v>
      </c>
      <c r="G2917" s="5" t="s">
        <v>412</v>
      </c>
      <c r="H2917" s="5" t="s">
        <v>418</v>
      </c>
      <c r="I2917" s="5" t="s">
        <v>63</v>
      </c>
      <c r="J2917" s="5">
        <v>17.333780000000001</v>
      </c>
      <c r="K2917" s="5">
        <v>-98.167548999999994</v>
      </c>
      <c r="L2917" s="5" t="str">
        <f>HYPERLINK("https://maps.google.com/?q=17.33378,-98.167548999999994", "🔗 Ver Mapa")</f>
        <v>🔗 Ver Mapa</v>
      </c>
    </row>
    <row r="2918" spans="1:12" ht="43.5" x14ac:dyDescent="0.35">
      <c r="A2918" s="6" t="s">
        <v>8</v>
      </c>
      <c r="B2918" s="6" t="s">
        <v>16</v>
      </c>
      <c r="C2918" s="6" t="s">
        <v>417</v>
      </c>
      <c r="D2918" s="6" t="s">
        <v>35</v>
      </c>
      <c r="E2918" s="6" t="s">
        <v>128</v>
      </c>
      <c r="F2918" s="6" t="s">
        <v>166</v>
      </c>
      <c r="G2918" s="6" t="s">
        <v>412</v>
      </c>
      <c r="H2918" s="6" t="s">
        <v>418</v>
      </c>
      <c r="I2918" s="6" t="s">
        <v>63</v>
      </c>
      <c r="J2918" s="6">
        <v>17.334071000000002</v>
      </c>
      <c r="K2918" s="6">
        <v>-98.167238999999995</v>
      </c>
      <c r="L2918" s="6" t="str">
        <f>HYPERLINK("https://maps.google.com/?q=17.334071,-98.167238999999995", "🔗 Ver Mapa")</f>
        <v>🔗 Ver Mapa</v>
      </c>
    </row>
    <row r="2919" spans="1:12" ht="43.5" x14ac:dyDescent="0.35">
      <c r="A2919" s="5" t="s">
        <v>8</v>
      </c>
      <c r="B2919" s="5" t="s">
        <v>16</v>
      </c>
      <c r="C2919" s="5" t="s">
        <v>417</v>
      </c>
      <c r="D2919" s="5" t="s">
        <v>35</v>
      </c>
      <c r="E2919" s="5" t="s">
        <v>128</v>
      </c>
      <c r="F2919" s="5" t="s">
        <v>166</v>
      </c>
      <c r="G2919" s="5" t="s">
        <v>412</v>
      </c>
      <c r="H2919" s="5" t="s">
        <v>418</v>
      </c>
      <c r="I2919" s="5" t="s">
        <v>63</v>
      </c>
      <c r="J2919" s="5">
        <v>17.334141717583002</v>
      </c>
      <c r="K2919" s="5">
        <v>-98.168328625803994</v>
      </c>
      <c r="L2919" s="5" t="str">
        <f>HYPERLINK("https://maps.google.com/?q=17.3341417175829,-98.1683286258036", "🔗 Ver Mapa")</f>
        <v>🔗 Ver Mapa</v>
      </c>
    </row>
    <row r="2920" spans="1:12" ht="43.5" x14ac:dyDescent="0.35">
      <c r="A2920" s="6" t="s">
        <v>8</v>
      </c>
      <c r="B2920" s="6" t="s">
        <v>16</v>
      </c>
      <c r="C2920" s="6" t="s">
        <v>417</v>
      </c>
      <c r="D2920" s="6" t="s">
        <v>35</v>
      </c>
      <c r="E2920" s="6" t="s">
        <v>128</v>
      </c>
      <c r="F2920" s="6" t="s">
        <v>166</v>
      </c>
      <c r="G2920" s="6" t="s">
        <v>412</v>
      </c>
      <c r="H2920" s="6" t="s">
        <v>418</v>
      </c>
      <c r="I2920" s="6" t="s">
        <v>63</v>
      </c>
      <c r="J2920" s="6">
        <v>17.334278999999999</v>
      </c>
      <c r="K2920" s="6">
        <v>-98.168175000000005</v>
      </c>
      <c r="L2920" s="6" t="str">
        <f>HYPERLINK("https://maps.google.com/?q=17.334279,-98.168175000000005", "🔗 Ver Mapa")</f>
        <v>🔗 Ver Mapa</v>
      </c>
    </row>
    <row r="2921" spans="1:12" ht="43.5" x14ac:dyDescent="0.35">
      <c r="A2921" s="5" t="s">
        <v>8</v>
      </c>
      <c r="B2921" s="5" t="s">
        <v>16</v>
      </c>
      <c r="C2921" s="5" t="s">
        <v>417</v>
      </c>
      <c r="D2921" s="5" t="s">
        <v>35</v>
      </c>
      <c r="E2921" s="5" t="s">
        <v>128</v>
      </c>
      <c r="F2921" s="5" t="s">
        <v>166</v>
      </c>
      <c r="G2921" s="5" t="s">
        <v>412</v>
      </c>
      <c r="H2921" s="5" t="s">
        <v>418</v>
      </c>
      <c r="I2921" s="5" t="s">
        <v>63</v>
      </c>
      <c r="J2921" s="5">
        <v>17.334302384626</v>
      </c>
      <c r="K2921" s="5">
        <v>-98.168323317791007</v>
      </c>
      <c r="L2921" s="5" t="str">
        <f>HYPERLINK("https://maps.google.com/?q=17.3343023846256,-98.1683233177909", "🔗 Ver Mapa")</f>
        <v>🔗 Ver Mapa</v>
      </c>
    </row>
    <row r="2922" spans="1:12" ht="43.5" x14ac:dyDescent="0.35">
      <c r="A2922" s="6" t="s">
        <v>8</v>
      </c>
      <c r="B2922" s="6" t="s">
        <v>16</v>
      </c>
      <c r="C2922" s="6" t="s">
        <v>417</v>
      </c>
      <c r="D2922" s="6" t="s">
        <v>35</v>
      </c>
      <c r="E2922" s="6" t="s">
        <v>128</v>
      </c>
      <c r="F2922" s="6" t="s">
        <v>166</v>
      </c>
      <c r="G2922" s="6" t="s">
        <v>412</v>
      </c>
      <c r="H2922" s="6" t="s">
        <v>418</v>
      </c>
      <c r="I2922" s="6" t="s">
        <v>63</v>
      </c>
      <c r="J2922" s="6">
        <v>17.336842999999998</v>
      </c>
      <c r="K2922" s="6">
        <v>-98.170153999999997</v>
      </c>
      <c r="L2922" s="6" t="str">
        <f>HYPERLINK("https://maps.google.com/?q=17.336843,-98.170153999999997", "🔗 Ver Mapa")</f>
        <v>🔗 Ver Mapa</v>
      </c>
    </row>
    <row r="2923" spans="1:12" ht="43.5" x14ac:dyDescent="0.35">
      <c r="A2923" s="5" t="s">
        <v>8</v>
      </c>
      <c r="B2923" s="5" t="s">
        <v>16</v>
      </c>
      <c r="C2923" s="5" t="s">
        <v>417</v>
      </c>
      <c r="D2923" s="5" t="s">
        <v>35</v>
      </c>
      <c r="E2923" s="5" t="s">
        <v>128</v>
      </c>
      <c r="F2923" s="5" t="s">
        <v>166</v>
      </c>
      <c r="G2923" s="5" t="s">
        <v>412</v>
      </c>
      <c r="H2923" s="5" t="s">
        <v>418</v>
      </c>
      <c r="I2923" s="5" t="s">
        <v>63</v>
      </c>
      <c r="J2923" s="5">
        <v>17.336887999999998</v>
      </c>
      <c r="K2923" s="5">
        <v>-98.170467000000002</v>
      </c>
      <c r="L2923" s="5" t="str">
        <f>HYPERLINK("https://maps.google.com/?q=17.336888,-98.170467000000002", "🔗 Ver Mapa")</f>
        <v>🔗 Ver Mapa</v>
      </c>
    </row>
    <row r="2924" spans="1:12" ht="43.5" x14ac:dyDescent="0.35">
      <c r="A2924" s="6" t="s">
        <v>8</v>
      </c>
      <c r="B2924" s="6" t="s">
        <v>16</v>
      </c>
      <c r="C2924" s="6" t="s">
        <v>417</v>
      </c>
      <c r="D2924" s="6" t="s">
        <v>35</v>
      </c>
      <c r="E2924" s="6" t="s">
        <v>128</v>
      </c>
      <c r="F2924" s="6" t="s">
        <v>166</v>
      </c>
      <c r="G2924" s="6" t="s">
        <v>412</v>
      </c>
      <c r="H2924" s="6" t="s">
        <v>418</v>
      </c>
      <c r="I2924" s="6" t="s">
        <v>63</v>
      </c>
      <c r="J2924" s="6">
        <v>17.336891200955002</v>
      </c>
      <c r="K2924" s="6">
        <v>-98.172677550925997</v>
      </c>
      <c r="L2924" s="6" t="str">
        <f>HYPERLINK("https://maps.google.com/?q=17.336891200955,-98.172677550926196", "🔗 Ver Mapa")</f>
        <v>🔗 Ver Mapa</v>
      </c>
    </row>
    <row r="2925" spans="1:12" ht="43.5" x14ac:dyDescent="0.35">
      <c r="A2925" s="5" t="s">
        <v>8</v>
      </c>
      <c r="B2925" s="5" t="s">
        <v>16</v>
      </c>
      <c r="C2925" s="5" t="s">
        <v>417</v>
      </c>
      <c r="D2925" s="5" t="s">
        <v>35</v>
      </c>
      <c r="E2925" s="5" t="s">
        <v>128</v>
      </c>
      <c r="F2925" s="5" t="s">
        <v>166</v>
      </c>
      <c r="G2925" s="5" t="s">
        <v>412</v>
      </c>
      <c r="H2925" s="5" t="s">
        <v>418</v>
      </c>
      <c r="I2925" s="5" t="s">
        <v>63</v>
      </c>
      <c r="J2925" s="5">
        <v>17.336912847678999</v>
      </c>
      <c r="K2925" s="5">
        <v>-98.172630968088001</v>
      </c>
      <c r="L2925" s="5" t="str">
        <f>HYPERLINK("https://maps.google.com/?q=17.3369128476785,-98.1726309680881", "🔗 Ver Mapa")</f>
        <v>🔗 Ver Mapa</v>
      </c>
    </row>
    <row r="2926" spans="1:12" ht="43.5" x14ac:dyDescent="0.35">
      <c r="A2926" s="6" t="s">
        <v>8</v>
      </c>
      <c r="B2926" s="6" t="s">
        <v>16</v>
      </c>
      <c r="C2926" s="6" t="s">
        <v>417</v>
      </c>
      <c r="D2926" s="6" t="s">
        <v>35</v>
      </c>
      <c r="E2926" s="6" t="s">
        <v>128</v>
      </c>
      <c r="F2926" s="6" t="s">
        <v>166</v>
      </c>
      <c r="G2926" s="6" t="s">
        <v>412</v>
      </c>
      <c r="H2926" s="6" t="s">
        <v>418</v>
      </c>
      <c r="I2926" s="6" t="s">
        <v>63</v>
      </c>
      <c r="J2926" s="6">
        <v>17.336919000000002</v>
      </c>
      <c r="K2926" s="6">
        <v>-98.172546999999994</v>
      </c>
      <c r="L2926" s="6" t="str">
        <f>HYPERLINK("https://maps.google.com/?q=17.336919,-98.172546999999994", "🔗 Ver Mapa")</f>
        <v>🔗 Ver Mapa</v>
      </c>
    </row>
    <row r="2927" spans="1:12" ht="43.5" x14ac:dyDescent="0.35">
      <c r="A2927" s="5" t="s">
        <v>8</v>
      </c>
      <c r="B2927" s="5" t="s">
        <v>16</v>
      </c>
      <c r="C2927" s="5" t="s">
        <v>417</v>
      </c>
      <c r="D2927" s="5" t="s">
        <v>35</v>
      </c>
      <c r="E2927" s="5" t="s">
        <v>128</v>
      </c>
      <c r="F2927" s="5" t="s">
        <v>166</v>
      </c>
      <c r="G2927" s="5" t="s">
        <v>412</v>
      </c>
      <c r="H2927" s="5" t="s">
        <v>418</v>
      </c>
      <c r="I2927" s="5" t="s">
        <v>63</v>
      </c>
      <c r="J2927" s="5">
        <v>17.337049</v>
      </c>
      <c r="K2927" s="5">
        <v>-98.170421000000005</v>
      </c>
      <c r="L2927" s="5" t="str">
        <f>HYPERLINK("https://maps.google.com/?q=17.337049,-98.170421000000005", "🔗 Ver Mapa")</f>
        <v>🔗 Ver Mapa</v>
      </c>
    </row>
    <row r="2928" spans="1:12" ht="43.5" x14ac:dyDescent="0.35">
      <c r="A2928" s="6" t="s">
        <v>8</v>
      </c>
      <c r="B2928" s="6" t="s">
        <v>16</v>
      </c>
      <c r="C2928" s="6" t="s">
        <v>417</v>
      </c>
      <c r="D2928" s="6" t="s">
        <v>35</v>
      </c>
      <c r="E2928" s="6" t="s">
        <v>128</v>
      </c>
      <c r="F2928" s="6" t="s">
        <v>166</v>
      </c>
      <c r="G2928" s="6" t="s">
        <v>412</v>
      </c>
      <c r="H2928" s="6" t="s">
        <v>418</v>
      </c>
      <c r="I2928" s="6" t="s">
        <v>63</v>
      </c>
      <c r="J2928" s="6">
        <v>17.337073554301</v>
      </c>
      <c r="K2928" s="6">
        <v>-98.172372157365999</v>
      </c>
      <c r="L2928" s="6" t="str">
        <f>HYPERLINK("https://maps.google.com/?q=17.3370735543014,-98.172372157366297", "🔗 Ver Mapa")</f>
        <v>🔗 Ver Mapa</v>
      </c>
    </row>
    <row r="2929" spans="1:12" ht="43.5" x14ac:dyDescent="0.35">
      <c r="A2929" s="5" t="s">
        <v>8</v>
      </c>
      <c r="B2929" s="5" t="s">
        <v>16</v>
      </c>
      <c r="C2929" s="5" t="s">
        <v>417</v>
      </c>
      <c r="D2929" s="5" t="s">
        <v>35</v>
      </c>
      <c r="E2929" s="5" t="s">
        <v>128</v>
      </c>
      <c r="F2929" s="5" t="s">
        <v>166</v>
      </c>
      <c r="G2929" s="5" t="s">
        <v>412</v>
      </c>
      <c r="H2929" s="5" t="s">
        <v>418</v>
      </c>
      <c r="I2929" s="5" t="s">
        <v>63</v>
      </c>
      <c r="J2929" s="5">
        <v>17.337097929049001</v>
      </c>
      <c r="K2929" s="5">
        <v>-98.170167450039003</v>
      </c>
      <c r="L2929" s="5" t="str">
        <f>HYPERLINK("https://maps.google.com/?q=17.3370979290485,-98.1701674500393", "🔗 Ver Mapa")</f>
        <v>🔗 Ver Mapa</v>
      </c>
    </row>
    <row r="2930" spans="1:12" ht="43.5" x14ac:dyDescent="0.35">
      <c r="A2930" s="6" t="s">
        <v>8</v>
      </c>
      <c r="B2930" s="6" t="s">
        <v>16</v>
      </c>
      <c r="C2930" s="6" t="s">
        <v>417</v>
      </c>
      <c r="D2930" s="6" t="s">
        <v>35</v>
      </c>
      <c r="E2930" s="6" t="s">
        <v>128</v>
      </c>
      <c r="F2930" s="6" t="s">
        <v>166</v>
      </c>
      <c r="G2930" s="6" t="s">
        <v>412</v>
      </c>
      <c r="H2930" s="6" t="s">
        <v>418</v>
      </c>
      <c r="I2930" s="6" t="s">
        <v>63</v>
      </c>
      <c r="J2930" s="6">
        <v>17.337295244121002</v>
      </c>
      <c r="K2930" s="6">
        <v>-98.170110930058996</v>
      </c>
      <c r="L2930" s="6" t="str">
        <f>HYPERLINK("https://maps.google.com/?q=17.3372952441213,-98.1701109300594", "🔗 Ver Mapa")</f>
        <v>🔗 Ver Mapa</v>
      </c>
    </row>
    <row r="2931" spans="1:12" ht="43.5" x14ac:dyDescent="0.35">
      <c r="A2931" s="5" t="s">
        <v>8</v>
      </c>
      <c r="B2931" s="5" t="s">
        <v>16</v>
      </c>
      <c r="C2931" s="5" t="s">
        <v>417</v>
      </c>
      <c r="D2931" s="5" t="s">
        <v>35</v>
      </c>
      <c r="E2931" s="5" t="s">
        <v>128</v>
      </c>
      <c r="F2931" s="5" t="s">
        <v>166</v>
      </c>
      <c r="G2931" s="5" t="s">
        <v>412</v>
      </c>
      <c r="H2931" s="5" t="s">
        <v>418</v>
      </c>
      <c r="I2931" s="5" t="s">
        <v>63</v>
      </c>
      <c r="J2931" s="5">
        <v>17.337330683767998</v>
      </c>
      <c r="K2931" s="5">
        <v>-98.172416714120999</v>
      </c>
      <c r="L2931" s="5" t="str">
        <f>HYPERLINK("https://maps.google.com/?q=17.3373306837678,-98.1724167141208", "🔗 Ver Mapa")</f>
        <v>🔗 Ver Mapa</v>
      </c>
    </row>
    <row r="2932" spans="1:12" ht="43.5" x14ac:dyDescent="0.35">
      <c r="A2932" s="6" t="s">
        <v>8</v>
      </c>
      <c r="B2932" s="6" t="s">
        <v>16</v>
      </c>
      <c r="C2932" s="6" t="s">
        <v>417</v>
      </c>
      <c r="D2932" s="6" t="s">
        <v>35</v>
      </c>
      <c r="E2932" s="6" t="s">
        <v>128</v>
      </c>
      <c r="F2932" s="6" t="s">
        <v>166</v>
      </c>
      <c r="G2932" s="6" t="s">
        <v>412</v>
      </c>
      <c r="H2932" s="6" t="s">
        <v>418</v>
      </c>
      <c r="I2932" s="6" t="s">
        <v>63</v>
      </c>
      <c r="J2932" s="6">
        <v>17.337382000000002</v>
      </c>
      <c r="K2932" s="6">
        <v>-98.170018999999996</v>
      </c>
      <c r="L2932" s="6" t="str">
        <f>HYPERLINK("https://maps.google.com/?q=17.337382,-98.170018999999996", "🔗 Ver Mapa")</f>
        <v>🔗 Ver Mapa</v>
      </c>
    </row>
    <row r="2933" spans="1:12" ht="43.5" x14ac:dyDescent="0.35">
      <c r="A2933" s="5" t="s">
        <v>8</v>
      </c>
      <c r="B2933" s="5" t="s">
        <v>16</v>
      </c>
      <c r="C2933" s="5" t="s">
        <v>417</v>
      </c>
      <c r="D2933" s="5" t="s">
        <v>35</v>
      </c>
      <c r="E2933" s="5" t="s">
        <v>128</v>
      </c>
      <c r="F2933" s="5" t="s">
        <v>166</v>
      </c>
      <c r="G2933" s="5" t="s">
        <v>412</v>
      </c>
      <c r="H2933" s="5" t="s">
        <v>418</v>
      </c>
      <c r="I2933" s="5" t="s">
        <v>63</v>
      </c>
      <c r="J2933" s="5">
        <v>17.337457726878998</v>
      </c>
      <c r="K2933" s="5">
        <v>-98.172312690807004</v>
      </c>
      <c r="L2933" s="5" t="str">
        <f>HYPERLINK("https://maps.google.com/?q=17.3374577268791,-98.172312690807303", "🔗 Ver Mapa")</f>
        <v>🔗 Ver Mapa</v>
      </c>
    </row>
    <row r="2934" spans="1:12" ht="43.5" x14ac:dyDescent="0.35">
      <c r="A2934" s="6" t="s">
        <v>8</v>
      </c>
      <c r="B2934" s="6" t="s">
        <v>16</v>
      </c>
      <c r="C2934" s="6" t="s">
        <v>417</v>
      </c>
      <c r="D2934" s="6" t="s">
        <v>35</v>
      </c>
      <c r="E2934" s="6" t="s">
        <v>128</v>
      </c>
      <c r="F2934" s="6" t="s">
        <v>166</v>
      </c>
      <c r="G2934" s="6" t="s">
        <v>412</v>
      </c>
      <c r="H2934" s="6" t="s">
        <v>418</v>
      </c>
      <c r="I2934" s="6" t="s">
        <v>63</v>
      </c>
      <c r="J2934" s="6">
        <v>17.337565999999999</v>
      </c>
      <c r="K2934" s="6">
        <v>-98.172128000000001</v>
      </c>
      <c r="L2934" s="6" t="str">
        <f>HYPERLINK("https://maps.google.com/?q=17.337566,-98.172128000000001", "🔗 Ver Mapa")</f>
        <v>🔗 Ver Mapa</v>
      </c>
    </row>
    <row r="2935" spans="1:12" ht="43.5" x14ac:dyDescent="0.35">
      <c r="A2935" s="5" t="s">
        <v>8</v>
      </c>
      <c r="B2935" s="5" t="s">
        <v>16</v>
      </c>
      <c r="C2935" s="5" t="s">
        <v>417</v>
      </c>
      <c r="D2935" s="5" t="s">
        <v>35</v>
      </c>
      <c r="E2935" s="5" t="s">
        <v>128</v>
      </c>
      <c r="F2935" s="5" t="s">
        <v>166</v>
      </c>
      <c r="G2935" s="5" t="s">
        <v>412</v>
      </c>
      <c r="H2935" s="5" t="s">
        <v>418</v>
      </c>
      <c r="I2935" s="5" t="s">
        <v>63</v>
      </c>
      <c r="J2935" s="5">
        <v>17.337627999999999</v>
      </c>
      <c r="K2935" s="5">
        <v>-98.170355000000001</v>
      </c>
      <c r="L2935" s="5" t="str">
        <f>HYPERLINK("https://maps.google.com/?q=17.337628,-98.170355000000001", "🔗 Ver Mapa")</f>
        <v>🔗 Ver Mapa</v>
      </c>
    </row>
    <row r="2936" spans="1:12" ht="43.5" x14ac:dyDescent="0.35">
      <c r="A2936" s="6" t="s">
        <v>8</v>
      </c>
      <c r="B2936" s="6" t="s">
        <v>16</v>
      </c>
      <c r="C2936" s="6" t="s">
        <v>417</v>
      </c>
      <c r="D2936" s="6" t="s">
        <v>35</v>
      </c>
      <c r="E2936" s="6" t="s">
        <v>128</v>
      </c>
      <c r="F2936" s="6" t="s">
        <v>166</v>
      </c>
      <c r="G2936" s="6" t="s">
        <v>412</v>
      </c>
      <c r="H2936" s="6" t="s">
        <v>418</v>
      </c>
      <c r="I2936" s="6" t="s">
        <v>63</v>
      </c>
      <c r="J2936" s="6">
        <v>17.337686999999999</v>
      </c>
      <c r="K2936" s="6">
        <v>-98.171975000000003</v>
      </c>
      <c r="L2936" s="6" t="str">
        <f>HYPERLINK("https://maps.google.com/?q=17.337687,-98.171975000000003", "🔗 Ver Mapa")</f>
        <v>🔗 Ver Mapa</v>
      </c>
    </row>
    <row r="2937" spans="1:12" ht="43.5" x14ac:dyDescent="0.35">
      <c r="A2937" s="5" t="s">
        <v>8</v>
      </c>
      <c r="B2937" s="5" t="s">
        <v>16</v>
      </c>
      <c r="C2937" s="5" t="s">
        <v>417</v>
      </c>
      <c r="D2937" s="5" t="s">
        <v>35</v>
      </c>
      <c r="E2937" s="5" t="s">
        <v>128</v>
      </c>
      <c r="F2937" s="5" t="s">
        <v>166</v>
      </c>
      <c r="G2937" s="5" t="s">
        <v>412</v>
      </c>
      <c r="H2937" s="5" t="s">
        <v>418</v>
      </c>
      <c r="I2937" s="5" t="s">
        <v>63</v>
      </c>
      <c r="J2937" s="5">
        <v>17.337753356235002</v>
      </c>
      <c r="K2937" s="5">
        <v>-98.172393961970997</v>
      </c>
      <c r="L2937" s="5" t="str">
        <f>HYPERLINK("https://maps.google.com/?q=17.3377533562348,-98.172393961971196", "🔗 Ver Mapa")</f>
        <v>🔗 Ver Mapa</v>
      </c>
    </row>
    <row r="2938" spans="1:12" ht="43.5" x14ac:dyDescent="0.35">
      <c r="A2938" s="6" t="s">
        <v>8</v>
      </c>
      <c r="B2938" s="6" t="s">
        <v>16</v>
      </c>
      <c r="C2938" s="6" t="s">
        <v>417</v>
      </c>
      <c r="D2938" s="6" t="s">
        <v>35</v>
      </c>
      <c r="E2938" s="6" t="s">
        <v>128</v>
      </c>
      <c r="F2938" s="6" t="s">
        <v>166</v>
      </c>
      <c r="G2938" s="6" t="s">
        <v>412</v>
      </c>
      <c r="H2938" s="6" t="s">
        <v>418</v>
      </c>
      <c r="I2938" s="6" t="s">
        <v>63</v>
      </c>
      <c r="J2938" s="6">
        <v>17.337789000000001</v>
      </c>
      <c r="K2938" s="6">
        <v>-98.171036000000001</v>
      </c>
      <c r="L2938" s="6" t="str">
        <f>HYPERLINK("https://maps.google.com/?q=17.337789,-98.171036000000001", "🔗 Ver Mapa")</f>
        <v>🔗 Ver Mapa</v>
      </c>
    </row>
    <row r="2939" spans="1:12" ht="43.5" x14ac:dyDescent="0.35">
      <c r="A2939" s="5" t="s">
        <v>8</v>
      </c>
      <c r="B2939" s="5" t="s">
        <v>16</v>
      </c>
      <c r="C2939" s="5" t="s">
        <v>417</v>
      </c>
      <c r="D2939" s="5" t="s">
        <v>35</v>
      </c>
      <c r="E2939" s="5" t="s">
        <v>128</v>
      </c>
      <c r="F2939" s="5" t="s">
        <v>166</v>
      </c>
      <c r="G2939" s="5" t="s">
        <v>412</v>
      </c>
      <c r="H2939" s="5" t="s">
        <v>418</v>
      </c>
      <c r="I2939" s="5" t="s">
        <v>63</v>
      </c>
      <c r="J2939" s="5">
        <v>17.337900000000001</v>
      </c>
      <c r="K2939" s="5">
        <v>-98.170090999999999</v>
      </c>
      <c r="L2939" s="5" t="str">
        <f>HYPERLINK("https://maps.google.com/?q=17.3379,-98.170090999999999", "🔗 Ver Mapa")</f>
        <v>🔗 Ver Mapa</v>
      </c>
    </row>
    <row r="2940" spans="1:12" ht="43.5" x14ac:dyDescent="0.35">
      <c r="A2940" s="6" t="s">
        <v>8</v>
      </c>
      <c r="B2940" s="6" t="s">
        <v>16</v>
      </c>
      <c r="C2940" s="6" t="s">
        <v>417</v>
      </c>
      <c r="D2940" s="6" t="s">
        <v>35</v>
      </c>
      <c r="E2940" s="6" t="s">
        <v>128</v>
      </c>
      <c r="F2940" s="6" t="s">
        <v>166</v>
      </c>
      <c r="G2940" s="6" t="s">
        <v>412</v>
      </c>
      <c r="H2940" s="6" t="s">
        <v>418</v>
      </c>
      <c r="I2940" s="6" t="s">
        <v>63</v>
      </c>
      <c r="J2940" s="6">
        <v>17.338020767715999</v>
      </c>
      <c r="K2940" s="6">
        <v>-98.171118816550006</v>
      </c>
      <c r="L2940" s="6" t="str">
        <f>HYPERLINK("https://maps.google.com/?q=17.3380207677162,-98.171118816550305", "🔗 Ver Mapa")</f>
        <v>🔗 Ver Mapa</v>
      </c>
    </row>
    <row r="2941" spans="1:12" ht="43.5" x14ac:dyDescent="0.35">
      <c r="A2941" s="5" t="s">
        <v>8</v>
      </c>
      <c r="B2941" s="5" t="s">
        <v>16</v>
      </c>
      <c r="C2941" s="5" t="s">
        <v>417</v>
      </c>
      <c r="D2941" s="5" t="s">
        <v>35</v>
      </c>
      <c r="E2941" s="5" t="s">
        <v>128</v>
      </c>
      <c r="F2941" s="5" t="s">
        <v>166</v>
      </c>
      <c r="G2941" s="5" t="s">
        <v>412</v>
      </c>
      <c r="H2941" s="5" t="s">
        <v>418</v>
      </c>
      <c r="I2941" s="5" t="s">
        <v>63</v>
      </c>
      <c r="J2941" s="5">
        <v>17.338042000000002</v>
      </c>
      <c r="K2941" s="5">
        <v>-98.170255999999995</v>
      </c>
      <c r="L2941" s="5" t="str">
        <f>HYPERLINK("https://maps.google.com/?q=17.338042,-98.170255999999995", "🔗 Ver Mapa")</f>
        <v>🔗 Ver Mapa</v>
      </c>
    </row>
    <row r="2942" spans="1:12" ht="43.5" x14ac:dyDescent="0.35">
      <c r="A2942" s="6" t="s">
        <v>8</v>
      </c>
      <c r="B2942" s="6" t="s">
        <v>16</v>
      </c>
      <c r="C2942" s="6" t="s">
        <v>417</v>
      </c>
      <c r="D2942" s="6" t="s">
        <v>35</v>
      </c>
      <c r="E2942" s="6" t="s">
        <v>128</v>
      </c>
      <c r="F2942" s="6" t="s">
        <v>166</v>
      </c>
      <c r="G2942" s="6" t="s">
        <v>412</v>
      </c>
      <c r="H2942" s="6" t="s">
        <v>418</v>
      </c>
      <c r="I2942" s="6" t="s">
        <v>63</v>
      </c>
      <c r="J2942" s="6">
        <v>17.338094999999999</v>
      </c>
      <c r="K2942" s="6">
        <v>-98.172368000000006</v>
      </c>
      <c r="L2942" s="6" t="str">
        <f>HYPERLINK("https://maps.google.com/?q=17.338095,-98.172368000000006", "🔗 Ver Mapa")</f>
        <v>🔗 Ver Mapa</v>
      </c>
    </row>
    <row r="2943" spans="1:12" ht="43.5" x14ac:dyDescent="0.35">
      <c r="A2943" s="5" t="s">
        <v>8</v>
      </c>
      <c r="B2943" s="5" t="s">
        <v>16</v>
      </c>
      <c r="C2943" s="5" t="s">
        <v>417</v>
      </c>
      <c r="D2943" s="5" t="s">
        <v>35</v>
      </c>
      <c r="E2943" s="5" t="s">
        <v>128</v>
      </c>
      <c r="F2943" s="5" t="s">
        <v>166</v>
      </c>
      <c r="G2943" s="5" t="s">
        <v>412</v>
      </c>
      <c r="H2943" s="5" t="s">
        <v>418</v>
      </c>
      <c r="I2943" s="5" t="s">
        <v>63</v>
      </c>
      <c r="J2943" s="5">
        <v>17.33811</v>
      </c>
      <c r="K2943" s="5">
        <v>-98.170343000000003</v>
      </c>
      <c r="L2943" s="5" t="str">
        <f>HYPERLINK("https://maps.google.com/?q=17.33811,-98.170343000000003", "🔗 Ver Mapa")</f>
        <v>🔗 Ver Mapa</v>
      </c>
    </row>
    <row r="2944" spans="1:12" ht="43.5" x14ac:dyDescent="0.35">
      <c r="A2944" s="6" t="s">
        <v>8</v>
      </c>
      <c r="B2944" s="6" t="s">
        <v>16</v>
      </c>
      <c r="C2944" s="6" t="s">
        <v>417</v>
      </c>
      <c r="D2944" s="6" t="s">
        <v>35</v>
      </c>
      <c r="E2944" s="6" t="s">
        <v>128</v>
      </c>
      <c r="F2944" s="6" t="s">
        <v>166</v>
      </c>
      <c r="G2944" s="6" t="s">
        <v>412</v>
      </c>
      <c r="H2944" s="6" t="s">
        <v>418</v>
      </c>
      <c r="I2944" s="6" t="s">
        <v>63</v>
      </c>
      <c r="J2944" s="6">
        <v>17.338457999999999</v>
      </c>
      <c r="K2944" s="6">
        <v>-98.171046000000004</v>
      </c>
      <c r="L2944" s="6" t="str">
        <f>HYPERLINK("https://maps.google.com/?q=17.338458,-98.171046000000004", "🔗 Ver Mapa")</f>
        <v>🔗 Ver Mapa</v>
      </c>
    </row>
    <row r="2945" spans="1:12" ht="43.5" x14ac:dyDescent="0.35">
      <c r="A2945" s="5" t="s">
        <v>8</v>
      </c>
      <c r="B2945" s="5" t="s">
        <v>16</v>
      </c>
      <c r="C2945" s="5" t="s">
        <v>417</v>
      </c>
      <c r="D2945" s="5" t="s">
        <v>35</v>
      </c>
      <c r="E2945" s="5" t="s">
        <v>128</v>
      </c>
      <c r="F2945" s="5" t="s">
        <v>166</v>
      </c>
      <c r="G2945" s="5" t="s">
        <v>412</v>
      </c>
      <c r="H2945" s="5" t="s">
        <v>418</v>
      </c>
      <c r="I2945" s="5" t="s">
        <v>63</v>
      </c>
      <c r="J2945" s="5">
        <v>17.338514</v>
      </c>
      <c r="K2945" s="5">
        <v>-98.170968999999999</v>
      </c>
      <c r="L2945" s="5" t="str">
        <f>HYPERLINK("https://maps.google.com/?q=17.338514,-98.170968999999999", "🔗 Ver Mapa")</f>
        <v>🔗 Ver Mapa</v>
      </c>
    </row>
    <row r="2946" spans="1:12" ht="43.5" x14ac:dyDescent="0.35">
      <c r="A2946" s="6" t="s">
        <v>8</v>
      </c>
      <c r="B2946" s="6" t="s">
        <v>16</v>
      </c>
      <c r="C2946" s="6" t="s">
        <v>419</v>
      </c>
      <c r="D2946" s="6" t="s">
        <v>35</v>
      </c>
      <c r="E2946" s="6" t="s">
        <v>128</v>
      </c>
      <c r="F2946" s="6" t="s">
        <v>166</v>
      </c>
      <c r="G2946" s="6" t="s">
        <v>412</v>
      </c>
      <c r="H2946" s="6" t="s">
        <v>420</v>
      </c>
      <c r="I2946" s="6" t="s">
        <v>63</v>
      </c>
      <c r="J2946" s="6">
        <v>17.427804999999999</v>
      </c>
      <c r="K2946" s="6">
        <v>-98.289373999999995</v>
      </c>
      <c r="L2946" s="6" t="str">
        <f>HYPERLINK("https://maps.google.com/?q=17.427805,-98.289373999999995", "🔗 Ver Mapa")</f>
        <v>🔗 Ver Mapa</v>
      </c>
    </row>
    <row r="2947" spans="1:12" ht="43.5" x14ac:dyDescent="0.35">
      <c r="A2947" s="5" t="s">
        <v>8</v>
      </c>
      <c r="B2947" s="5" t="s">
        <v>16</v>
      </c>
      <c r="C2947" s="5" t="s">
        <v>419</v>
      </c>
      <c r="D2947" s="5" t="s">
        <v>35</v>
      </c>
      <c r="E2947" s="5" t="s">
        <v>128</v>
      </c>
      <c r="F2947" s="5" t="s">
        <v>166</v>
      </c>
      <c r="G2947" s="5" t="s">
        <v>412</v>
      </c>
      <c r="H2947" s="5" t="s">
        <v>420</v>
      </c>
      <c r="I2947" s="5" t="s">
        <v>63</v>
      </c>
      <c r="J2947" s="5">
        <v>17.428319999999999</v>
      </c>
      <c r="K2947" s="5">
        <v>-98.289269000000004</v>
      </c>
      <c r="L2947" s="5" t="str">
        <f>HYPERLINK("https://maps.google.com/?q=17.42832,-98.289269000000004", "🔗 Ver Mapa")</f>
        <v>🔗 Ver Mapa</v>
      </c>
    </row>
    <row r="2948" spans="1:12" ht="43.5" x14ac:dyDescent="0.35">
      <c r="A2948" s="6" t="s">
        <v>8</v>
      </c>
      <c r="B2948" s="6" t="s">
        <v>16</v>
      </c>
      <c r="C2948" s="6" t="s">
        <v>419</v>
      </c>
      <c r="D2948" s="6" t="s">
        <v>35</v>
      </c>
      <c r="E2948" s="6" t="s">
        <v>128</v>
      </c>
      <c r="F2948" s="6" t="s">
        <v>166</v>
      </c>
      <c r="G2948" s="6" t="s">
        <v>412</v>
      </c>
      <c r="H2948" s="6" t="s">
        <v>420</v>
      </c>
      <c r="I2948" s="6" t="s">
        <v>63</v>
      </c>
      <c r="J2948" s="6">
        <v>17.428574000000001</v>
      </c>
      <c r="K2948" s="6">
        <v>-98.295173000000005</v>
      </c>
      <c r="L2948" s="6" t="str">
        <f>HYPERLINK("https://maps.google.com/?q=17.428574,-98.295173000000005", "🔗 Ver Mapa")</f>
        <v>🔗 Ver Mapa</v>
      </c>
    </row>
    <row r="2949" spans="1:12" ht="43.5" x14ac:dyDescent="0.35">
      <c r="A2949" s="5" t="s">
        <v>8</v>
      </c>
      <c r="B2949" s="5" t="s">
        <v>16</v>
      </c>
      <c r="C2949" s="5" t="s">
        <v>419</v>
      </c>
      <c r="D2949" s="5" t="s">
        <v>35</v>
      </c>
      <c r="E2949" s="5" t="s">
        <v>128</v>
      </c>
      <c r="F2949" s="5" t="s">
        <v>166</v>
      </c>
      <c r="G2949" s="5" t="s">
        <v>412</v>
      </c>
      <c r="H2949" s="5" t="s">
        <v>420</v>
      </c>
      <c r="I2949" s="5" t="s">
        <v>63</v>
      </c>
      <c r="J2949" s="5">
        <v>17.428581000000001</v>
      </c>
      <c r="K2949" s="5">
        <v>-98.289968999999999</v>
      </c>
      <c r="L2949" s="5" t="str">
        <f>HYPERLINK("https://maps.google.com/?q=17.428581,-98.289968999999999", "🔗 Ver Mapa")</f>
        <v>🔗 Ver Mapa</v>
      </c>
    </row>
    <row r="2950" spans="1:12" ht="43.5" x14ac:dyDescent="0.35">
      <c r="A2950" s="6" t="s">
        <v>8</v>
      </c>
      <c r="B2950" s="6" t="s">
        <v>16</v>
      </c>
      <c r="C2950" s="6" t="s">
        <v>419</v>
      </c>
      <c r="D2950" s="6" t="s">
        <v>35</v>
      </c>
      <c r="E2950" s="6" t="s">
        <v>128</v>
      </c>
      <c r="F2950" s="6" t="s">
        <v>166</v>
      </c>
      <c r="G2950" s="6" t="s">
        <v>412</v>
      </c>
      <c r="H2950" s="6" t="s">
        <v>420</v>
      </c>
      <c r="I2950" s="6" t="s">
        <v>63</v>
      </c>
      <c r="J2950" s="6">
        <v>17.428730000000002</v>
      </c>
      <c r="K2950" s="6">
        <v>-98.290054999999995</v>
      </c>
      <c r="L2950" s="6" t="str">
        <f>HYPERLINK("https://maps.google.com/?q=17.42873,-98.290055", "🔗 Ver Mapa")</f>
        <v>🔗 Ver Mapa</v>
      </c>
    </row>
    <row r="2951" spans="1:12" ht="43.5" x14ac:dyDescent="0.35">
      <c r="A2951" s="5" t="s">
        <v>8</v>
      </c>
      <c r="B2951" s="5" t="s">
        <v>16</v>
      </c>
      <c r="C2951" s="5" t="s">
        <v>419</v>
      </c>
      <c r="D2951" s="5" t="s">
        <v>35</v>
      </c>
      <c r="E2951" s="5" t="s">
        <v>128</v>
      </c>
      <c r="F2951" s="5" t="s">
        <v>166</v>
      </c>
      <c r="G2951" s="5" t="s">
        <v>412</v>
      </c>
      <c r="H2951" s="5" t="s">
        <v>420</v>
      </c>
      <c r="I2951" s="5" t="s">
        <v>63</v>
      </c>
      <c r="J2951" s="5">
        <v>17.428822</v>
      </c>
      <c r="K2951" s="5">
        <v>-98.296009999999995</v>
      </c>
      <c r="L2951" s="5" t="str">
        <f>HYPERLINK("https://maps.google.com/?q=17.428822,-98.296009999999995", "🔗 Ver Mapa")</f>
        <v>🔗 Ver Mapa</v>
      </c>
    </row>
    <row r="2952" spans="1:12" ht="43.5" x14ac:dyDescent="0.35">
      <c r="A2952" s="6" t="s">
        <v>8</v>
      </c>
      <c r="B2952" s="6" t="s">
        <v>16</v>
      </c>
      <c r="C2952" s="6" t="s">
        <v>419</v>
      </c>
      <c r="D2952" s="6" t="s">
        <v>35</v>
      </c>
      <c r="E2952" s="6" t="s">
        <v>128</v>
      </c>
      <c r="F2952" s="6" t="s">
        <v>166</v>
      </c>
      <c r="G2952" s="6" t="s">
        <v>412</v>
      </c>
      <c r="H2952" s="6" t="s">
        <v>420</v>
      </c>
      <c r="I2952" s="6" t="s">
        <v>63</v>
      </c>
      <c r="J2952" s="6">
        <v>17.428844999999999</v>
      </c>
      <c r="K2952" s="6">
        <v>-98.294152999999994</v>
      </c>
      <c r="L2952" s="6" t="str">
        <f>HYPERLINK("https://maps.google.com/?q=17.428845,-98.294152999999994", "🔗 Ver Mapa")</f>
        <v>🔗 Ver Mapa</v>
      </c>
    </row>
    <row r="2953" spans="1:12" ht="43.5" x14ac:dyDescent="0.35">
      <c r="A2953" s="5" t="s">
        <v>8</v>
      </c>
      <c r="B2953" s="5" t="s">
        <v>16</v>
      </c>
      <c r="C2953" s="5" t="s">
        <v>419</v>
      </c>
      <c r="D2953" s="5" t="s">
        <v>35</v>
      </c>
      <c r="E2953" s="5" t="s">
        <v>128</v>
      </c>
      <c r="F2953" s="5" t="s">
        <v>166</v>
      </c>
      <c r="G2953" s="5" t="s">
        <v>412</v>
      </c>
      <c r="H2953" s="5" t="s">
        <v>420</v>
      </c>
      <c r="I2953" s="5" t="s">
        <v>63</v>
      </c>
      <c r="J2953" s="5">
        <v>17.428891</v>
      </c>
      <c r="K2953" s="5">
        <v>-98.289938000000006</v>
      </c>
      <c r="L2953" s="5" t="str">
        <f>HYPERLINK("https://maps.google.com/?q=17.428891,-98.289938000000006", "🔗 Ver Mapa")</f>
        <v>🔗 Ver Mapa</v>
      </c>
    </row>
    <row r="2954" spans="1:12" ht="43.5" x14ac:dyDescent="0.35">
      <c r="A2954" s="6" t="s">
        <v>8</v>
      </c>
      <c r="B2954" s="6" t="s">
        <v>16</v>
      </c>
      <c r="C2954" s="6" t="s">
        <v>419</v>
      </c>
      <c r="D2954" s="6" t="s">
        <v>35</v>
      </c>
      <c r="E2954" s="6" t="s">
        <v>128</v>
      </c>
      <c r="F2954" s="6" t="s">
        <v>166</v>
      </c>
      <c r="G2954" s="6" t="s">
        <v>412</v>
      </c>
      <c r="H2954" s="6" t="s">
        <v>420</v>
      </c>
      <c r="I2954" s="6" t="s">
        <v>63</v>
      </c>
      <c r="J2954" s="6">
        <v>17.429200000000002</v>
      </c>
      <c r="K2954" s="6">
        <v>-98.294224999999997</v>
      </c>
      <c r="L2954" s="6" t="str">
        <f>HYPERLINK("https://maps.google.com/?q=17.4292,-98.294224999999997", "🔗 Ver Mapa")</f>
        <v>🔗 Ver Mapa</v>
      </c>
    </row>
    <row r="2955" spans="1:12" ht="43.5" x14ac:dyDescent="0.35">
      <c r="A2955" s="5" t="s">
        <v>8</v>
      </c>
      <c r="B2955" s="5" t="s">
        <v>16</v>
      </c>
      <c r="C2955" s="5" t="s">
        <v>419</v>
      </c>
      <c r="D2955" s="5" t="s">
        <v>35</v>
      </c>
      <c r="E2955" s="5" t="s">
        <v>128</v>
      </c>
      <c r="F2955" s="5" t="s">
        <v>166</v>
      </c>
      <c r="G2955" s="5" t="s">
        <v>412</v>
      </c>
      <c r="H2955" s="5" t="s">
        <v>420</v>
      </c>
      <c r="I2955" s="5" t="s">
        <v>63</v>
      </c>
      <c r="J2955" s="5">
        <v>17.429301899999999</v>
      </c>
      <c r="K2955" s="5">
        <v>-98.295970499999996</v>
      </c>
      <c r="L2955" s="5" t="str">
        <f>HYPERLINK("https://maps.google.com/?q=17.4293019,-98.295970499999996", "🔗 Ver Mapa")</f>
        <v>🔗 Ver Mapa</v>
      </c>
    </row>
    <row r="2956" spans="1:12" ht="43.5" x14ac:dyDescent="0.35">
      <c r="A2956" s="6" t="s">
        <v>8</v>
      </c>
      <c r="B2956" s="6" t="s">
        <v>16</v>
      </c>
      <c r="C2956" s="6" t="s">
        <v>419</v>
      </c>
      <c r="D2956" s="6" t="s">
        <v>35</v>
      </c>
      <c r="E2956" s="6" t="s">
        <v>128</v>
      </c>
      <c r="F2956" s="6" t="s">
        <v>166</v>
      </c>
      <c r="G2956" s="6" t="s">
        <v>412</v>
      </c>
      <c r="H2956" s="6" t="s">
        <v>420</v>
      </c>
      <c r="I2956" s="6" t="s">
        <v>63</v>
      </c>
      <c r="J2956" s="6">
        <v>17.429497999999999</v>
      </c>
      <c r="K2956" s="6">
        <v>-98.291195000000002</v>
      </c>
      <c r="L2956" s="6" t="str">
        <f>HYPERLINK("https://maps.google.com/?q=17.429498,-98.291195000000002", "🔗 Ver Mapa")</f>
        <v>🔗 Ver Mapa</v>
      </c>
    </row>
    <row r="2957" spans="1:12" ht="43.5" x14ac:dyDescent="0.35">
      <c r="A2957" s="5" t="s">
        <v>8</v>
      </c>
      <c r="B2957" s="5" t="s">
        <v>16</v>
      </c>
      <c r="C2957" s="5" t="s">
        <v>419</v>
      </c>
      <c r="D2957" s="5" t="s">
        <v>35</v>
      </c>
      <c r="E2957" s="5" t="s">
        <v>128</v>
      </c>
      <c r="F2957" s="5" t="s">
        <v>166</v>
      </c>
      <c r="G2957" s="5" t="s">
        <v>412</v>
      </c>
      <c r="H2957" s="5" t="s">
        <v>420</v>
      </c>
      <c r="I2957" s="5" t="s">
        <v>63</v>
      </c>
      <c r="J2957" s="5">
        <v>17.429568202041001</v>
      </c>
      <c r="K2957" s="5">
        <v>-98.291129505800001</v>
      </c>
      <c r="L2957" s="5" t="str">
        <f>HYPERLINK("https://maps.google.com/?q=17.429568202041,-98.291129505800399", "🔗 Ver Mapa")</f>
        <v>🔗 Ver Mapa</v>
      </c>
    </row>
    <row r="2958" spans="1:12" ht="43.5" x14ac:dyDescent="0.35">
      <c r="A2958" s="6" t="s">
        <v>8</v>
      </c>
      <c r="B2958" s="6" t="s">
        <v>16</v>
      </c>
      <c r="C2958" s="6" t="s">
        <v>419</v>
      </c>
      <c r="D2958" s="6" t="s">
        <v>35</v>
      </c>
      <c r="E2958" s="6" t="s">
        <v>128</v>
      </c>
      <c r="F2958" s="6" t="s">
        <v>166</v>
      </c>
      <c r="G2958" s="6" t="s">
        <v>412</v>
      </c>
      <c r="H2958" s="6" t="s">
        <v>420</v>
      </c>
      <c r="I2958" s="6" t="s">
        <v>63</v>
      </c>
      <c r="J2958" s="6">
        <v>17.429570999999999</v>
      </c>
      <c r="K2958" s="6">
        <v>-98.295749000000001</v>
      </c>
      <c r="L2958" s="6" t="str">
        <f>HYPERLINK("https://maps.google.com/?q=17.429571,-98.295749000000001", "🔗 Ver Mapa")</f>
        <v>🔗 Ver Mapa</v>
      </c>
    </row>
    <row r="2959" spans="1:12" ht="43.5" x14ac:dyDescent="0.35">
      <c r="A2959" s="5" t="s">
        <v>8</v>
      </c>
      <c r="B2959" s="5" t="s">
        <v>16</v>
      </c>
      <c r="C2959" s="5" t="s">
        <v>419</v>
      </c>
      <c r="D2959" s="5" t="s">
        <v>35</v>
      </c>
      <c r="E2959" s="5" t="s">
        <v>128</v>
      </c>
      <c r="F2959" s="5" t="s">
        <v>166</v>
      </c>
      <c r="G2959" s="5" t="s">
        <v>412</v>
      </c>
      <c r="H2959" s="5" t="s">
        <v>420</v>
      </c>
      <c r="I2959" s="5" t="s">
        <v>63</v>
      </c>
      <c r="J2959" s="5">
        <v>17.430209000000001</v>
      </c>
      <c r="K2959" s="5">
        <v>-98.290799000000007</v>
      </c>
      <c r="L2959" s="5" t="str">
        <f>HYPERLINK("https://maps.google.com/?q=17.430209,-98.290799000000007", "🔗 Ver Mapa")</f>
        <v>🔗 Ver Mapa</v>
      </c>
    </row>
    <row r="2960" spans="1:12" ht="43.5" x14ac:dyDescent="0.35">
      <c r="A2960" s="6" t="s">
        <v>8</v>
      </c>
      <c r="B2960" s="6" t="s">
        <v>16</v>
      </c>
      <c r="C2960" s="6" t="s">
        <v>419</v>
      </c>
      <c r="D2960" s="6" t="s">
        <v>35</v>
      </c>
      <c r="E2960" s="6" t="s">
        <v>128</v>
      </c>
      <c r="F2960" s="6" t="s">
        <v>166</v>
      </c>
      <c r="G2960" s="6" t="s">
        <v>412</v>
      </c>
      <c r="H2960" s="6" t="s">
        <v>420</v>
      </c>
      <c r="I2960" s="6" t="s">
        <v>63</v>
      </c>
      <c r="J2960" s="6">
        <v>17.430762000000001</v>
      </c>
      <c r="K2960" s="6">
        <v>-98.291911999999996</v>
      </c>
      <c r="L2960" s="6" t="str">
        <f>HYPERLINK("https://maps.google.com/?q=17.430762,-98.291911999999996", "🔗 Ver Mapa")</f>
        <v>🔗 Ver Mapa</v>
      </c>
    </row>
    <row r="2961" spans="1:12" ht="43.5" x14ac:dyDescent="0.35">
      <c r="A2961" s="5" t="s">
        <v>8</v>
      </c>
      <c r="B2961" s="5" t="s">
        <v>16</v>
      </c>
      <c r="C2961" s="5" t="s">
        <v>419</v>
      </c>
      <c r="D2961" s="5" t="s">
        <v>35</v>
      </c>
      <c r="E2961" s="5" t="s">
        <v>128</v>
      </c>
      <c r="F2961" s="5" t="s">
        <v>166</v>
      </c>
      <c r="G2961" s="5" t="s">
        <v>412</v>
      </c>
      <c r="H2961" s="5" t="s">
        <v>420</v>
      </c>
      <c r="I2961" s="5" t="s">
        <v>63</v>
      </c>
      <c r="J2961" s="5">
        <v>17.43093</v>
      </c>
      <c r="K2961" s="5">
        <v>-98.290046000000004</v>
      </c>
      <c r="L2961" s="5" t="str">
        <f>HYPERLINK("https://maps.google.com/?q=17.43093,-98.290046", "🔗 Ver Mapa")</f>
        <v>🔗 Ver Mapa</v>
      </c>
    </row>
    <row r="2962" spans="1:12" ht="43.5" x14ac:dyDescent="0.35">
      <c r="A2962" s="6" t="s">
        <v>8</v>
      </c>
      <c r="B2962" s="6" t="s">
        <v>16</v>
      </c>
      <c r="C2962" s="6" t="s">
        <v>419</v>
      </c>
      <c r="D2962" s="6" t="s">
        <v>35</v>
      </c>
      <c r="E2962" s="6" t="s">
        <v>128</v>
      </c>
      <c r="F2962" s="6" t="s">
        <v>166</v>
      </c>
      <c r="G2962" s="6" t="s">
        <v>412</v>
      </c>
      <c r="H2962" s="6" t="s">
        <v>420</v>
      </c>
      <c r="I2962" s="6" t="s">
        <v>63</v>
      </c>
      <c r="J2962" s="6">
        <v>17.431003</v>
      </c>
      <c r="K2962" s="6">
        <v>-98.291561999999999</v>
      </c>
      <c r="L2962" s="6" t="str">
        <f>HYPERLINK("https://maps.google.com/?q=17.431003,-98.291561999999999", "🔗 Ver Mapa")</f>
        <v>🔗 Ver Mapa</v>
      </c>
    </row>
    <row r="2963" spans="1:12" ht="43.5" x14ac:dyDescent="0.35">
      <c r="A2963" s="5" t="s">
        <v>8</v>
      </c>
      <c r="B2963" s="5" t="s">
        <v>16</v>
      </c>
      <c r="C2963" s="5" t="s">
        <v>419</v>
      </c>
      <c r="D2963" s="5" t="s">
        <v>35</v>
      </c>
      <c r="E2963" s="5" t="s">
        <v>128</v>
      </c>
      <c r="F2963" s="5" t="s">
        <v>166</v>
      </c>
      <c r="G2963" s="5" t="s">
        <v>412</v>
      </c>
      <c r="H2963" s="5" t="s">
        <v>420</v>
      </c>
      <c r="I2963" s="5" t="s">
        <v>63</v>
      </c>
      <c r="J2963" s="5">
        <v>17.431010000000001</v>
      </c>
      <c r="K2963" s="5">
        <v>-98.291244000000006</v>
      </c>
      <c r="L2963" s="5" t="str">
        <f>HYPERLINK("https://maps.google.com/?q=17.43101,-98.291244000000006", "🔗 Ver Mapa")</f>
        <v>🔗 Ver Mapa</v>
      </c>
    </row>
    <row r="2964" spans="1:12" ht="43.5" x14ac:dyDescent="0.35">
      <c r="A2964" s="6" t="s">
        <v>8</v>
      </c>
      <c r="B2964" s="6" t="s">
        <v>16</v>
      </c>
      <c r="C2964" s="6" t="s">
        <v>419</v>
      </c>
      <c r="D2964" s="6" t="s">
        <v>35</v>
      </c>
      <c r="E2964" s="6" t="s">
        <v>128</v>
      </c>
      <c r="F2964" s="6" t="s">
        <v>166</v>
      </c>
      <c r="G2964" s="6" t="s">
        <v>412</v>
      </c>
      <c r="H2964" s="6" t="s">
        <v>420</v>
      </c>
      <c r="I2964" s="6" t="s">
        <v>63</v>
      </c>
      <c r="J2964" s="6">
        <v>17.431176900000001</v>
      </c>
      <c r="K2964" s="6">
        <v>-98.2903862</v>
      </c>
      <c r="L2964" s="6" t="str">
        <f>HYPERLINK("https://maps.google.com/?q=17.4311769,-98.2903862", "🔗 Ver Mapa")</f>
        <v>🔗 Ver Mapa</v>
      </c>
    </row>
    <row r="2965" spans="1:12" ht="43.5" x14ac:dyDescent="0.35">
      <c r="A2965" s="5" t="s">
        <v>8</v>
      </c>
      <c r="B2965" s="5" t="s">
        <v>16</v>
      </c>
      <c r="C2965" s="5" t="s">
        <v>419</v>
      </c>
      <c r="D2965" s="5" t="s">
        <v>35</v>
      </c>
      <c r="E2965" s="5" t="s">
        <v>128</v>
      </c>
      <c r="F2965" s="5" t="s">
        <v>166</v>
      </c>
      <c r="G2965" s="5" t="s">
        <v>412</v>
      </c>
      <c r="H2965" s="5" t="s">
        <v>420</v>
      </c>
      <c r="I2965" s="5" t="s">
        <v>63</v>
      </c>
      <c r="J2965" s="5">
        <v>17.431183000000001</v>
      </c>
      <c r="K2965" s="5">
        <v>-98.296595999999994</v>
      </c>
      <c r="L2965" s="5" t="str">
        <f>HYPERLINK("https://maps.google.com/?q=17.431183,-98.296595999999994", "🔗 Ver Mapa")</f>
        <v>🔗 Ver Mapa</v>
      </c>
    </row>
    <row r="2966" spans="1:12" ht="43.5" x14ac:dyDescent="0.35">
      <c r="A2966" s="6" t="s">
        <v>8</v>
      </c>
      <c r="B2966" s="6" t="s">
        <v>16</v>
      </c>
      <c r="C2966" s="6" t="s">
        <v>419</v>
      </c>
      <c r="D2966" s="6" t="s">
        <v>35</v>
      </c>
      <c r="E2966" s="6" t="s">
        <v>128</v>
      </c>
      <c r="F2966" s="6" t="s">
        <v>166</v>
      </c>
      <c r="G2966" s="6" t="s">
        <v>412</v>
      </c>
      <c r="H2966" s="6" t="s">
        <v>420</v>
      </c>
      <c r="I2966" s="6" t="s">
        <v>63</v>
      </c>
      <c r="J2966" s="6">
        <v>17.431263000000001</v>
      </c>
      <c r="K2966" s="6">
        <v>-98.290598000000003</v>
      </c>
      <c r="L2966" s="6" t="str">
        <f>HYPERLINK("https://maps.google.com/?q=17.431263,-98.290598000000003", "🔗 Ver Mapa")</f>
        <v>🔗 Ver Mapa</v>
      </c>
    </row>
    <row r="2967" spans="1:12" ht="43.5" x14ac:dyDescent="0.35">
      <c r="A2967" s="5" t="s">
        <v>8</v>
      </c>
      <c r="B2967" s="5" t="s">
        <v>16</v>
      </c>
      <c r="C2967" s="5" t="s">
        <v>419</v>
      </c>
      <c r="D2967" s="5" t="s">
        <v>35</v>
      </c>
      <c r="E2967" s="5" t="s">
        <v>128</v>
      </c>
      <c r="F2967" s="5" t="s">
        <v>166</v>
      </c>
      <c r="G2967" s="5" t="s">
        <v>412</v>
      </c>
      <c r="H2967" s="5" t="s">
        <v>420</v>
      </c>
      <c r="I2967" s="5" t="s">
        <v>63</v>
      </c>
      <c r="J2967" s="5">
        <v>17.431263000000001</v>
      </c>
      <c r="K2967" s="5">
        <v>-98.291143000000005</v>
      </c>
      <c r="L2967" s="5" t="str">
        <f>HYPERLINK("https://maps.google.com/?q=17.431263,-98.291143000000005", "🔗 Ver Mapa")</f>
        <v>🔗 Ver Mapa</v>
      </c>
    </row>
    <row r="2968" spans="1:12" ht="43.5" x14ac:dyDescent="0.35">
      <c r="A2968" s="6" t="s">
        <v>8</v>
      </c>
      <c r="B2968" s="6" t="s">
        <v>16</v>
      </c>
      <c r="C2968" s="6" t="s">
        <v>419</v>
      </c>
      <c r="D2968" s="6" t="s">
        <v>35</v>
      </c>
      <c r="E2968" s="6" t="s">
        <v>128</v>
      </c>
      <c r="F2968" s="6" t="s">
        <v>166</v>
      </c>
      <c r="G2968" s="6" t="s">
        <v>412</v>
      </c>
      <c r="H2968" s="6" t="s">
        <v>420</v>
      </c>
      <c r="I2968" s="6" t="s">
        <v>63</v>
      </c>
      <c r="J2968" s="6">
        <v>17.431303909935998</v>
      </c>
      <c r="K2968" s="6">
        <v>-98.290538271163996</v>
      </c>
      <c r="L2968" s="6" t="str">
        <f>HYPERLINK("https://maps.google.com/?q=17.4313039099357,-98.290538271163996", "🔗 Ver Mapa")</f>
        <v>🔗 Ver Mapa</v>
      </c>
    </row>
    <row r="2969" spans="1:12" ht="43.5" x14ac:dyDescent="0.35">
      <c r="A2969" s="5" t="s">
        <v>8</v>
      </c>
      <c r="B2969" s="5" t="s">
        <v>16</v>
      </c>
      <c r="C2969" s="5" t="s">
        <v>419</v>
      </c>
      <c r="D2969" s="5" t="s">
        <v>35</v>
      </c>
      <c r="E2969" s="5" t="s">
        <v>128</v>
      </c>
      <c r="F2969" s="5" t="s">
        <v>166</v>
      </c>
      <c r="G2969" s="5" t="s">
        <v>412</v>
      </c>
      <c r="H2969" s="5" t="s">
        <v>420</v>
      </c>
      <c r="I2969" s="5" t="s">
        <v>63</v>
      </c>
      <c r="J2969" s="5">
        <v>17.431319999999999</v>
      </c>
      <c r="K2969" s="5">
        <v>-98.290934199999995</v>
      </c>
      <c r="L2969" s="5" t="str">
        <f>HYPERLINK("https://maps.google.com/?q=17.43132,-98.290934199999995", "🔗 Ver Mapa")</f>
        <v>🔗 Ver Mapa</v>
      </c>
    </row>
    <row r="2970" spans="1:12" ht="43.5" x14ac:dyDescent="0.35">
      <c r="A2970" s="6" t="s">
        <v>8</v>
      </c>
      <c r="B2970" s="6" t="s">
        <v>16</v>
      </c>
      <c r="C2970" s="6" t="s">
        <v>419</v>
      </c>
      <c r="D2970" s="6" t="s">
        <v>35</v>
      </c>
      <c r="E2970" s="6" t="s">
        <v>128</v>
      </c>
      <c r="F2970" s="6" t="s">
        <v>166</v>
      </c>
      <c r="G2970" s="6" t="s">
        <v>412</v>
      </c>
      <c r="H2970" s="6" t="s">
        <v>420</v>
      </c>
      <c r="I2970" s="6" t="s">
        <v>63</v>
      </c>
      <c r="J2970" s="6">
        <v>17.431457593053999</v>
      </c>
      <c r="K2970" s="6">
        <v>-98.289570186508001</v>
      </c>
      <c r="L2970" s="6" t="str">
        <f>HYPERLINK("https://maps.google.com/?q=17.4314575930542,-98.289570186508101", "🔗 Ver Mapa")</f>
        <v>🔗 Ver Mapa</v>
      </c>
    </row>
    <row r="2971" spans="1:12" ht="43.5" x14ac:dyDescent="0.35">
      <c r="A2971" s="5" t="s">
        <v>8</v>
      </c>
      <c r="B2971" s="5" t="s">
        <v>16</v>
      </c>
      <c r="C2971" s="5" t="s">
        <v>419</v>
      </c>
      <c r="D2971" s="5" t="s">
        <v>35</v>
      </c>
      <c r="E2971" s="5" t="s">
        <v>128</v>
      </c>
      <c r="F2971" s="5" t="s">
        <v>166</v>
      </c>
      <c r="G2971" s="5" t="s">
        <v>412</v>
      </c>
      <c r="H2971" s="5" t="s">
        <v>420</v>
      </c>
      <c r="I2971" s="5" t="s">
        <v>63</v>
      </c>
      <c r="J2971" s="5">
        <v>17.431533000000002</v>
      </c>
      <c r="K2971" s="5">
        <v>-98.293181000000004</v>
      </c>
      <c r="L2971" s="5" t="str">
        <f>HYPERLINK("https://maps.google.com/?q=17.431533,-98.293181000000004", "🔗 Ver Mapa")</f>
        <v>🔗 Ver Mapa</v>
      </c>
    </row>
    <row r="2972" spans="1:12" ht="43.5" x14ac:dyDescent="0.35">
      <c r="A2972" s="6" t="s">
        <v>8</v>
      </c>
      <c r="B2972" s="6" t="s">
        <v>16</v>
      </c>
      <c r="C2972" s="6" t="s">
        <v>419</v>
      </c>
      <c r="D2972" s="6" t="s">
        <v>35</v>
      </c>
      <c r="E2972" s="6" t="s">
        <v>128</v>
      </c>
      <c r="F2972" s="6" t="s">
        <v>166</v>
      </c>
      <c r="G2972" s="6" t="s">
        <v>412</v>
      </c>
      <c r="H2972" s="6" t="s">
        <v>420</v>
      </c>
      <c r="I2972" s="6" t="s">
        <v>63</v>
      </c>
      <c r="J2972" s="6">
        <v>17.432141013881001</v>
      </c>
      <c r="K2972" s="6">
        <v>-98.294396431877004</v>
      </c>
      <c r="L2972" s="6" t="str">
        <f>HYPERLINK("https://maps.google.com/?q=17.4321410138808,-98.294396431877203", "🔗 Ver Mapa")</f>
        <v>🔗 Ver Mapa</v>
      </c>
    </row>
    <row r="2973" spans="1:12" ht="43.5" x14ac:dyDescent="0.35">
      <c r="A2973" s="5" t="s">
        <v>8</v>
      </c>
      <c r="B2973" s="5" t="s">
        <v>16</v>
      </c>
      <c r="C2973" s="5" t="s">
        <v>419</v>
      </c>
      <c r="D2973" s="5" t="s">
        <v>35</v>
      </c>
      <c r="E2973" s="5" t="s">
        <v>128</v>
      </c>
      <c r="F2973" s="5" t="s">
        <v>166</v>
      </c>
      <c r="G2973" s="5" t="s">
        <v>412</v>
      </c>
      <c r="H2973" s="5" t="s">
        <v>420</v>
      </c>
      <c r="I2973" s="5" t="s">
        <v>63</v>
      </c>
      <c r="J2973" s="5">
        <v>17.432224999999999</v>
      </c>
      <c r="K2973" s="5">
        <v>-98.29571</v>
      </c>
      <c r="L2973" s="5" t="str">
        <f>HYPERLINK("https://maps.google.com/?q=17.432225,-98.29571", "🔗 Ver Mapa")</f>
        <v>🔗 Ver Mapa</v>
      </c>
    </row>
    <row r="2974" spans="1:12" ht="43.5" x14ac:dyDescent="0.35">
      <c r="A2974" s="6" t="s">
        <v>8</v>
      </c>
      <c r="B2974" s="6" t="s">
        <v>16</v>
      </c>
      <c r="C2974" s="6" t="s">
        <v>419</v>
      </c>
      <c r="D2974" s="6" t="s">
        <v>35</v>
      </c>
      <c r="E2974" s="6" t="s">
        <v>128</v>
      </c>
      <c r="F2974" s="6" t="s">
        <v>166</v>
      </c>
      <c r="G2974" s="6" t="s">
        <v>412</v>
      </c>
      <c r="H2974" s="6" t="s">
        <v>420</v>
      </c>
      <c r="I2974" s="6" t="s">
        <v>63</v>
      </c>
      <c r="J2974" s="6">
        <v>17.432352999999999</v>
      </c>
      <c r="K2974" s="6">
        <v>-98.285089999999997</v>
      </c>
      <c r="L2974" s="6" t="str">
        <f>HYPERLINK("https://maps.google.com/?q=17.432353,-98.285089999999997", "🔗 Ver Mapa")</f>
        <v>🔗 Ver Mapa</v>
      </c>
    </row>
    <row r="2975" spans="1:12" ht="43.5" x14ac:dyDescent="0.35">
      <c r="A2975" s="5" t="s">
        <v>8</v>
      </c>
      <c r="B2975" s="5" t="s">
        <v>16</v>
      </c>
      <c r="C2975" s="5" t="s">
        <v>419</v>
      </c>
      <c r="D2975" s="5" t="s">
        <v>35</v>
      </c>
      <c r="E2975" s="5" t="s">
        <v>128</v>
      </c>
      <c r="F2975" s="5" t="s">
        <v>166</v>
      </c>
      <c r="G2975" s="5" t="s">
        <v>412</v>
      </c>
      <c r="H2975" s="5" t="s">
        <v>420</v>
      </c>
      <c r="I2975" s="5" t="s">
        <v>63</v>
      </c>
      <c r="J2975" s="5">
        <v>17.432402</v>
      </c>
      <c r="K2975" s="5">
        <v>-98.288533000000001</v>
      </c>
      <c r="L2975" s="5" t="str">
        <f>HYPERLINK("https://maps.google.com/?q=17.432402,-98.288533000000001", "🔗 Ver Mapa")</f>
        <v>🔗 Ver Mapa</v>
      </c>
    </row>
    <row r="2976" spans="1:12" ht="43.5" x14ac:dyDescent="0.35">
      <c r="A2976" s="6" t="s">
        <v>8</v>
      </c>
      <c r="B2976" s="6" t="s">
        <v>16</v>
      </c>
      <c r="C2976" s="6" t="s">
        <v>419</v>
      </c>
      <c r="D2976" s="6" t="s">
        <v>35</v>
      </c>
      <c r="E2976" s="6" t="s">
        <v>128</v>
      </c>
      <c r="F2976" s="6" t="s">
        <v>166</v>
      </c>
      <c r="G2976" s="6" t="s">
        <v>412</v>
      </c>
      <c r="H2976" s="6" t="s">
        <v>420</v>
      </c>
      <c r="I2976" s="6" t="s">
        <v>63</v>
      </c>
      <c r="J2976" s="6">
        <v>17.43252</v>
      </c>
      <c r="K2976" s="6">
        <v>-98.285177000000004</v>
      </c>
      <c r="L2976" s="6" t="str">
        <f>HYPERLINK("https://maps.google.com/?q=17.43252,-98.285177000000004", "🔗 Ver Mapa")</f>
        <v>🔗 Ver Mapa</v>
      </c>
    </row>
    <row r="2977" spans="1:12" ht="43.5" x14ac:dyDescent="0.35">
      <c r="A2977" s="5" t="s">
        <v>8</v>
      </c>
      <c r="B2977" s="5" t="s">
        <v>16</v>
      </c>
      <c r="C2977" s="5" t="s">
        <v>419</v>
      </c>
      <c r="D2977" s="5" t="s">
        <v>35</v>
      </c>
      <c r="E2977" s="5" t="s">
        <v>128</v>
      </c>
      <c r="F2977" s="5" t="s">
        <v>166</v>
      </c>
      <c r="G2977" s="5" t="s">
        <v>412</v>
      </c>
      <c r="H2977" s="5" t="s">
        <v>420</v>
      </c>
      <c r="I2977" s="5" t="s">
        <v>63</v>
      </c>
      <c r="J2977" s="5">
        <v>17.432649000000001</v>
      </c>
      <c r="K2977" s="5">
        <v>-98.285167000000001</v>
      </c>
      <c r="L2977" s="5" t="str">
        <f>HYPERLINK("https://maps.google.com/?q=17.432649,-98.285167000000001", "🔗 Ver Mapa")</f>
        <v>🔗 Ver Mapa</v>
      </c>
    </row>
    <row r="2978" spans="1:12" ht="43.5" x14ac:dyDescent="0.35">
      <c r="A2978" s="6" t="s">
        <v>8</v>
      </c>
      <c r="B2978" s="6" t="s">
        <v>16</v>
      </c>
      <c r="C2978" s="6" t="s">
        <v>419</v>
      </c>
      <c r="D2978" s="6" t="s">
        <v>35</v>
      </c>
      <c r="E2978" s="6" t="s">
        <v>128</v>
      </c>
      <c r="F2978" s="6" t="s">
        <v>166</v>
      </c>
      <c r="G2978" s="6" t="s">
        <v>412</v>
      </c>
      <c r="H2978" s="6" t="s">
        <v>420</v>
      </c>
      <c r="I2978" s="6" t="s">
        <v>63</v>
      </c>
      <c r="J2978" s="6">
        <v>17.432689</v>
      </c>
      <c r="K2978" s="6">
        <v>-98.288321999999994</v>
      </c>
      <c r="L2978" s="6" t="str">
        <f>HYPERLINK("https://maps.google.com/?q=17.432689,-98.288321999999994", "🔗 Ver Mapa")</f>
        <v>🔗 Ver Mapa</v>
      </c>
    </row>
    <row r="2979" spans="1:12" ht="43.5" x14ac:dyDescent="0.35">
      <c r="A2979" s="5" t="s">
        <v>8</v>
      </c>
      <c r="B2979" s="5" t="s">
        <v>16</v>
      </c>
      <c r="C2979" s="5" t="s">
        <v>419</v>
      </c>
      <c r="D2979" s="5" t="s">
        <v>35</v>
      </c>
      <c r="E2979" s="5" t="s">
        <v>128</v>
      </c>
      <c r="F2979" s="5" t="s">
        <v>166</v>
      </c>
      <c r="G2979" s="5" t="s">
        <v>412</v>
      </c>
      <c r="H2979" s="5" t="s">
        <v>420</v>
      </c>
      <c r="I2979" s="5" t="s">
        <v>63</v>
      </c>
      <c r="J2979" s="5">
        <v>17.432757345205001</v>
      </c>
      <c r="K2979" s="5">
        <v>-98.293467052744006</v>
      </c>
      <c r="L2979" s="5" t="str">
        <f>HYPERLINK("https://maps.google.com/?q=17.4327573452049,-98.293467052743907", "🔗 Ver Mapa")</f>
        <v>🔗 Ver Mapa</v>
      </c>
    </row>
    <row r="2980" spans="1:12" ht="43.5" x14ac:dyDescent="0.35">
      <c r="A2980" s="6" t="s">
        <v>8</v>
      </c>
      <c r="B2980" s="6" t="s">
        <v>16</v>
      </c>
      <c r="C2980" s="6" t="s">
        <v>419</v>
      </c>
      <c r="D2980" s="6" t="s">
        <v>35</v>
      </c>
      <c r="E2980" s="6" t="s">
        <v>128</v>
      </c>
      <c r="F2980" s="6" t="s">
        <v>166</v>
      </c>
      <c r="G2980" s="6" t="s">
        <v>412</v>
      </c>
      <c r="H2980" s="6" t="s">
        <v>420</v>
      </c>
      <c r="I2980" s="6" t="s">
        <v>63</v>
      </c>
      <c r="J2980" s="6">
        <v>17.432983</v>
      </c>
      <c r="K2980" s="6">
        <v>-98.295764000000005</v>
      </c>
      <c r="L2980" s="6" t="str">
        <f>HYPERLINK("https://maps.google.com/?q=17.432983,-98.295764000000005", "🔗 Ver Mapa")</f>
        <v>🔗 Ver Mapa</v>
      </c>
    </row>
    <row r="2981" spans="1:12" ht="43.5" x14ac:dyDescent="0.35">
      <c r="A2981" s="5" t="s">
        <v>8</v>
      </c>
      <c r="B2981" s="5" t="s">
        <v>16</v>
      </c>
      <c r="C2981" s="5" t="s">
        <v>419</v>
      </c>
      <c r="D2981" s="5" t="s">
        <v>35</v>
      </c>
      <c r="E2981" s="5" t="s">
        <v>128</v>
      </c>
      <c r="F2981" s="5" t="s">
        <v>166</v>
      </c>
      <c r="G2981" s="5" t="s">
        <v>412</v>
      </c>
      <c r="H2981" s="5" t="s">
        <v>420</v>
      </c>
      <c r="I2981" s="5" t="s">
        <v>63</v>
      </c>
      <c r="J2981" s="5">
        <v>17.433177000000001</v>
      </c>
      <c r="K2981" s="5">
        <v>-98.294611000000003</v>
      </c>
      <c r="L2981" s="5" t="str">
        <f>HYPERLINK("https://maps.google.com/?q=17.433177,-98.294611000000003", "🔗 Ver Mapa")</f>
        <v>🔗 Ver Mapa</v>
      </c>
    </row>
    <row r="2982" spans="1:12" ht="43.5" x14ac:dyDescent="0.35">
      <c r="A2982" s="6" t="s">
        <v>8</v>
      </c>
      <c r="B2982" s="6" t="s">
        <v>16</v>
      </c>
      <c r="C2982" s="6" t="s">
        <v>419</v>
      </c>
      <c r="D2982" s="6" t="s">
        <v>35</v>
      </c>
      <c r="E2982" s="6" t="s">
        <v>128</v>
      </c>
      <c r="F2982" s="6" t="s">
        <v>166</v>
      </c>
      <c r="G2982" s="6" t="s">
        <v>412</v>
      </c>
      <c r="H2982" s="6" t="s">
        <v>420</v>
      </c>
      <c r="I2982" s="6" t="s">
        <v>63</v>
      </c>
      <c r="J2982" s="6">
        <v>17.433851000000001</v>
      </c>
      <c r="K2982" s="6">
        <v>-98.285728000000006</v>
      </c>
      <c r="L2982" s="6" t="str">
        <f>HYPERLINK("https://maps.google.com/?q=17.433851,-98.285728000000006", "🔗 Ver Mapa")</f>
        <v>🔗 Ver Mapa</v>
      </c>
    </row>
    <row r="2983" spans="1:12" ht="43.5" x14ac:dyDescent="0.35">
      <c r="A2983" s="5" t="s">
        <v>8</v>
      </c>
      <c r="B2983" s="5" t="s">
        <v>16</v>
      </c>
      <c r="C2983" s="5" t="s">
        <v>419</v>
      </c>
      <c r="D2983" s="5" t="s">
        <v>35</v>
      </c>
      <c r="E2983" s="5" t="s">
        <v>128</v>
      </c>
      <c r="F2983" s="5" t="s">
        <v>166</v>
      </c>
      <c r="G2983" s="5" t="s">
        <v>412</v>
      </c>
      <c r="H2983" s="5" t="s">
        <v>420</v>
      </c>
      <c r="I2983" s="5" t="s">
        <v>63</v>
      </c>
      <c r="J2983" s="5">
        <v>17.433864</v>
      </c>
      <c r="K2983" s="5">
        <v>-98.285939999999997</v>
      </c>
      <c r="L2983" s="5" t="str">
        <f>HYPERLINK("https://maps.google.com/?q=17.433864,-98.285939999999997", "🔗 Ver Mapa")</f>
        <v>🔗 Ver Mapa</v>
      </c>
    </row>
    <row r="2984" spans="1:12" ht="43.5" x14ac:dyDescent="0.35">
      <c r="A2984" s="6" t="s">
        <v>8</v>
      </c>
      <c r="B2984" s="6" t="s">
        <v>16</v>
      </c>
      <c r="C2984" s="6" t="s">
        <v>419</v>
      </c>
      <c r="D2984" s="6" t="s">
        <v>35</v>
      </c>
      <c r="E2984" s="6" t="s">
        <v>128</v>
      </c>
      <c r="F2984" s="6" t="s">
        <v>166</v>
      </c>
      <c r="G2984" s="6" t="s">
        <v>412</v>
      </c>
      <c r="H2984" s="6" t="s">
        <v>420</v>
      </c>
      <c r="I2984" s="6" t="s">
        <v>63</v>
      </c>
      <c r="J2984" s="6">
        <v>17.434132999999999</v>
      </c>
      <c r="K2984" s="6">
        <v>-98.293756000000002</v>
      </c>
      <c r="L2984" s="6" t="str">
        <f>HYPERLINK("https://maps.google.com/?q=17.434133,-98.293756000000002", "🔗 Ver Mapa")</f>
        <v>🔗 Ver Mapa</v>
      </c>
    </row>
    <row r="2985" spans="1:12" ht="43.5" x14ac:dyDescent="0.35">
      <c r="A2985" s="5" t="s">
        <v>8</v>
      </c>
      <c r="B2985" s="5" t="s">
        <v>16</v>
      </c>
      <c r="C2985" s="5" t="s">
        <v>419</v>
      </c>
      <c r="D2985" s="5" t="s">
        <v>35</v>
      </c>
      <c r="E2985" s="5" t="s">
        <v>128</v>
      </c>
      <c r="F2985" s="5" t="s">
        <v>166</v>
      </c>
      <c r="G2985" s="5" t="s">
        <v>412</v>
      </c>
      <c r="H2985" s="5" t="s">
        <v>420</v>
      </c>
      <c r="I2985" s="5" t="s">
        <v>63</v>
      </c>
      <c r="J2985" s="5">
        <v>17.434176000000001</v>
      </c>
      <c r="K2985" s="5">
        <v>-98.286268000000007</v>
      </c>
      <c r="L2985" s="5" t="str">
        <f>HYPERLINK("https://maps.google.com/?q=17.434176,-98.286268000000007", "🔗 Ver Mapa")</f>
        <v>🔗 Ver Mapa</v>
      </c>
    </row>
    <row r="2986" spans="1:12" ht="43.5" x14ac:dyDescent="0.35">
      <c r="A2986" s="6" t="s">
        <v>8</v>
      </c>
      <c r="B2986" s="6" t="s">
        <v>16</v>
      </c>
      <c r="C2986" s="6" t="s">
        <v>421</v>
      </c>
      <c r="D2986" s="6" t="s">
        <v>35</v>
      </c>
      <c r="E2986" s="6" t="s">
        <v>39</v>
      </c>
      <c r="F2986" s="6" t="s">
        <v>162</v>
      </c>
      <c r="G2986" s="6" t="s">
        <v>257</v>
      </c>
      <c r="H2986" s="6" t="s">
        <v>422</v>
      </c>
      <c r="I2986" s="6" t="s">
        <v>63</v>
      </c>
      <c r="J2986" s="6">
        <v>16.414120369389</v>
      </c>
      <c r="K2986" s="6">
        <v>-95.026493091424001</v>
      </c>
      <c r="L2986" s="6" t="str">
        <f>HYPERLINK("https://maps.google.com/?q=16.4141203693887,-95.026493091423504", "🔗 Ver Mapa")</f>
        <v>🔗 Ver Mapa</v>
      </c>
    </row>
    <row r="2987" spans="1:12" ht="43.5" x14ac:dyDescent="0.35">
      <c r="A2987" s="5" t="s">
        <v>8</v>
      </c>
      <c r="B2987" s="5" t="s">
        <v>16</v>
      </c>
      <c r="C2987" s="5" t="s">
        <v>421</v>
      </c>
      <c r="D2987" s="5" t="s">
        <v>35</v>
      </c>
      <c r="E2987" s="5" t="s">
        <v>39</v>
      </c>
      <c r="F2987" s="5" t="s">
        <v>162</v>
      </c>
      <c r="G2987" s="5" t="s">
        <v>257</v>
      </c>
      <c r="H2987" s="5" t="s">
        <v>422</v>
      </c>
      <c r="I2987" s="5" t="s">
        <v>63</v>
      </c>
      <c r="J2987" s="5">
        <v>16.414850828034002</v>
      </c>
      <c r="K2987" s="5">
        <v>-95.025572846860001</v>
      </c>
      <c r="L2987" s="5" t="str">
        <f>HYPERLINK("https://maps.google.com/?q=16.4148508280339,-95.025572846859603", "🔗 Ver Mapa")</f>
        <v>🔗 Ver Mapa</v>
      </c>
    </row>
    <row r="2988" spans="1:12" ht="43.5" x14ac:dyDescent="0.35">
      <c r="A2988" s="6" t="s">
        <v>8</v>
      </c>
      <c r="B2988" s="6" t="s">
        <v>16</v>
      </c>
      <c r="C2988" s="6" t="s">
        <v>421</v>
      </c>
      <c r="D2988" s="6" t="s">
        <v>35</v>
      </c>
      <c r="E2988" s="6" t="s">
        <v>39</v>
      </c>
      <c r="F2988" s="6" t="s">
        <v>162</v>
      </c>
      <c r="G2988" s="6" t="s">
        <v>257</v>
      </c>
      <c r="H2988" s="6" t="s">
        <v>422</v>
      </c>
      <c r="I2988" s="6" t="s">
        <v>63</v>
      </c>
      <c r="J2988" s="6">
        <v>16.414976908690001</v>
      </c>
      <c r="K2988" s="6">
        <v>-95.026688475046001</v>
      </c>
      <c r="L2988" s="6" t="str">
        <f>HYPERLINK("https://maps.google.com/?q=16.4149769086902,-95.026688475045603", "🔗 Ver Mapa")</f>
        <v>🔗 Ver Mapa</v>
      </c>
    </row>
    <row r="2989" spans="1:12" ht="43.5" x14ac:dyDescent="0.35">
      <c r="A2989" s="5" t="s">
        <v>8</v>
      </c>
      <c r="B2989" s="5" t="s">
        <v>16</v>
      </c>
      <c r="C2989" s="5" t="s">
        <v>421</v>
      </c>
      <c r="D2989" s="5" t="s">
        <v>35</v>
      </c>
      <c r="E2989" s="5" t="s">
        <v>39</v>
      </c>
      <c r="F2989" s="5" t="s">
        <v>162</v>
      </c>
      <c r="G2989" s="5" t="s">
        <v>257</v>
      </c>
      <c r="H2989" s="5" t="s">
        <v>422</v>
      </c>
      <c r="I2989" s="5" t="s">
        <v>63</v>
      </c>
      <c r="J2989" s="5">
        <v>16.415131880610002</v>
      </c>
      <c r="K2989" s="5">
        <v>-95.025784064299998</v>
      </c>
      <c r="L2989" s="5" t="str">
        <f>HYPERLINK("https://maps.google.com/?q=16.41513188061,-95.025784064300296", "🔗 Ver Mapa")</f>
        <v>🔗 Ver Mapa</v>
      </c>
    </row>
    <row r="2990" spans="1:12" ht="43.5" x14ac:dyDescent="0.35">
      <c r="A2990" s="6" t="s">
        <v>8</v>
      </c>
      <c r="B2990" s="6" t="s">
        <v>16</v>
      </c>
      <c r="C2990" s="6" t="s">
        <v>421</v>
      </c>
      <c r="D2990" s="6" t="s">
        <v>35</v>
      </c>
      <c r="E2990" s="6" t="s">
        <v>39</v>
      </c>
      <c r="F2990" s="6" t="s">
        <v>162</v>
      </c>
      <c r="G2990" s="6" t="s">
        <v>257</v>
      </c>
      <c r="H2990" s="6" t="s">
        <v>422</v>
      </c>
      <c r="I2990" s="6" t="s">
        <v>63</v>
      </c>
      <c r="J2990" s="6">
        <v>16.415417107871001</v>
      </c>
      <c r="K2990" s="6">
        <v>-95.025945626359004</v>
      </c>
      <c r="L2990" s="6" t="str">
        <f>HYPERLINK("https://maps.google.com/?q=16.4154171078709,-95.025945626358805", "🔗 Ver Mapa")</f>
        <v>🔗 Ver Mapa</v>
      </c>
    </row>
    <row r="2991" spans="1:12" ht="43.5" x14ac:dyDescent="0.35">
      <c r="A2991" s="5" t="s">
        <v>8</v>
      </c>
      <c r="B2991" s="5" t="s">
        <v>16</v>
      </c>
      <c r="C2991" s="5" t="s">
        <v>421</v>
      </c>
      <c r="D2991" s="5" t="s">
        <v>35</v>
      </c>
      <c r="E2991" s="5" t="s">
        <v>39</v>
      </c>
      <c r="F2991" s="5" t="s">
        <v>162</v>
      </c>
      <c r="G2991" s="5" t="s">
        <v>257</v>
      </c>
      <c r="H2991" s="5" t="s">
        <v>422</v>
      </c>
      <c r="I2991" s="5" t="s">
        <v>63</v>
      </c>
      <c r="J2991" s="5">
        <v>16.417151397624998</v>
      </c>
      <c r="K2991" s="5">
        <v>-95.015091351200994</v>
      </c>
      <c r="L2991" s="5" t="str">
        <f>HYPERLINK("https://maps.google.com/?q=16.417151397625,-95.015091351200795", "🔗 Ver Mapa")</f>
        <v>🔗 Ver Mapa</v>
      </c>
    </row>
    <row r="2992" spans="1:12" ht="43.5" x14ac:dyDescent="0.35">
      <c r="A2992" s="6" t="s">
        <v>8</v>
      </c>
      <c r="B2992" s="6" t="s">
        <v>16</v>
      </c>
      <c r="C2992" s="6" t="s">
        <v>421</v>
      </c>
      <c r="D2992" s="6" t="s">
        <v>35</v>
      </c>
      <c r="E2992" s="6" t="s">
        <v>39</v>
      </c>
      <c r="F2992" s="6" t="s">
        <v>162</v>
      </c>
      <c r="G2992" s="6" t="s">
        <v>257</v>
      </c>
      <c r="H2992" s="6" t="s">
        <v>422</v>
      </c>
      <c r="I2992" s="6" t="s">
        <v>63</v>
      </c>
      <c r="J2992" s="6">
        <v>16.417622237461998</v>
      </c>
      <c r="K2992" s="6">
        <v>-95.025633163191998</v>
      </c>
      <c r="L2992" s="6" t="str">
        <f>HYPERLINK("https://maps.google.com/?q=16.417622237462,-95.025633163191998", "🔗 Ver Mapa")</f>
        <v>🔗 Ver Mapa</v>
      </c>
    </row>
    <row r="2993" spans="1:12" ht="43.5" x14ac:dyDescent="0.35">
      <c r="A2993" s="5" t="s">
        <v>8</v>
      </c>
      <c r="B2993" s="5" t="s">
        <v>16</v>
      </c>
      <c r="C2993" s="5" t="s">
        <v>421</v>
      </c>
      <c r="D2993" s="5" t="s">
        <v>35</v>
      </c>
      <c r="E2993" s="5" t="s">
        <v>39</v>
      </c>
      <c r="F2993" s="5" t="s">
        <v>162</v>
      </c>
      <c r="G2993" s="5" t="s">
        <v>257</v>
      </c>
      <c r="H2993" s="5" t="s">
        <v>422</v>
      </c>
      <c r="I2993" s="5" t="s">
        <v>63</v>
      </c>
      <c r="J2993" s="5">
        <v>16.419695122053</v>
      </c>
      <c r="K2993" s="5">
        <v>-95.027741373064998</v>
      </c>
      <c r="L2993" s="5" t="str">
        <f>HYPERLINK("https://maps.google.com/?q=16.419695122053,-95.0277413730647", "🔗 Ver Mapa")</f>
        <v>🔗 Ver Mapa</v>
      </c>
    </row>
    <row r="2994" spans="1:12" ht="43.5" x14ac:dyDescent="0.35">
      <c r="A2994" s="6" t="s">
        <v>8</v>
      </c>
      <c r="B2994" s="6" t="s">
        <v>16</v>
      </c>
      <c r="C2994" s="6" t="s">
        <v>421</v>
      </c>
      <c r="D2994" s="6" t="s">
        <v>35</v>
      </c>
      <c r="E2994" s="6" t="s">
        <v>39</v>
      </c>
      <c r="F2994" s="6" t="s">
        <v>162</v>
      </c>
      <c r="G2994" s="6" t="s">
        <v>257</v>
      </c>
      <c r="H2994" s="6" t="s">
        <v>422</v>
      </c>
      <c r="I2994" s="6" t="s">
        <v>63</v>
      </c>
      <c r="J2994" s="6">
        <v>16.421139253337</v>
      </c>
      <c r="K2994" s="6">
        <v>-95.018956148686001</v>
      </c>
      <c r="L2994" s="6" t="str">
        <f>HYPERLINK("https://maps.google.com/?q=16.4211392533368,-95.018956148686499", "🔗 Ver Mapa")</f>
        <v>🔗 Ver Mapa</v>
      </c>
    </row>
    <row r="2995" spans="1:12" ht="43.5" x14ac:dyDescent="0.35">
      <c r="A2995" s="5" t="s">
        <v>8</v>
      </c>
      <c r="B2995" s="5" t="s">
        <v>16</v>
      </c>
      <c r="C2995" s="5" t="s">
        <v>421</v>
      </c>
      <c r="D2995" s="5" t="s">
        <v>35</v>
      </c>
      <c r="E2995" s="5" t="s">
        <v>39</v>
      </c>
      <c r="F2995" s="5" t="s">
        <v>162</v>
      </c>
      <c r="G2995" s="5" t="s">
        <v>257</v>
      </c>
      <c r="H2995" s="5" t="s">
        <v>422</v>
      </c>
      <c r="I2995" s="5" t="s">
        <v>63</v>
      </c>
      <c r="J2995" s="5">
        <v>16.421225414123999</v>
      </c>
      <c r="K2995" s="5">
        <v>-95.023877487990006</v>
      </c>
      <c r="L2995" s="5" t="str">
        <f>HYPERLINK("https://maps.google.com/?q=16.4212254141244,-95.023877487990305", "🔗 Ver Mapa")</f>
        <v>🔗 Ver Mapa</v>
      </c>
    </row>
    <row r="2996" spans="1:12" ht="43.5" x14ac:dyDescent="0.35">
      <c r="A2996" s="6" t="s">
        <v>8</v>
      </c>
      <c r="B2996" s="6" t="s">
        <v>16</v>
      </c>
      <c r="C2996" s="6" t="s">
        <v>421</v>
      </c>
      <c r="D2996" s="6" t="s">
        <v>35</v>
      </c>
      <c r="E2996" s="6" t="s">
        <v>39</v>
      </c>
      <c r="F2996" s="6" t="s">
        <v>162</v>
      </c>
      <c r="G2996" s="6" t="s">
        <v>257</v>
      </c>
      <c r="H2996" s="6" t="s">
        <v>422</v>
      </c>
      <c r="I2996" s="6" t="s">
        <v>63</v>
      </c>
      <c r="J2996" s="6">
        <v>16.421255662958</v>
      </c>
      <c r="K2996" s="6">
        <v>-95.036944769543993</v>
      </c>
      <c r="L2996" s="6" t="str">
        <f>HYPERLINK("https://maps.google.com/?q=16.4212556629582,-95.036944769543695", "🔗 Ver Mapa")</f>
        <v>🔗 Ver Mapa</v>
      </c>
    </row>
    <row r="2997" spans="1:12" ht="43.5" x14ac:dyDescent="0.35">
      <c r="A2997" s="5" t="s">
        <v>8</v>
      </c>
      <c r="B2997" s="5" t="s">
        <v>16</v>
      </c>
      <c r="C2997" s="5" t="s">
        <v>421</v>
      </c>
      <c r="D2997" s="5" t="s">
        <v>35</v>
      </c>
      <c r="E2997" s="5" t="s">
        <v>39</v>
      </c>
      <c r="F2997" s="5" t="s">
        <v>162</v>
      </c>
      <c r="G2997" s="5" t="s">
        <v>257</v>
      </c>
      <c r="H2997" s="5" t="s">
        <v>422</v>
      </c>
      <c r="I2997" s="5" t="s">
        <v>63</v>
      </c>
      <c r="J2997" s="5">
        <v>16.421529446701001</v>
      </c>
      <c r="K2997" s="5">
        <v>-95.025681766865006</v>
      </c>
      <c r="L2997" s="5" t="str">
        <f>HYPERLINK("https://maps.google.com/?q=16.4215294467006,-95.025681766865205", "🔗 Ver Mapa")</f>
        <v>🔗 Ver Mapa</v>
      </c>
    </row>
    <row r="2998" spans="1:12" ht="43.5" x14ac:dyDescent="0.35">
      <c r="A2998" s="6" t="s">
        <v>8</v>
      </c>
      <c r="B2998" s="6" t="s">
        <v>16</v>
      </c>
      <c r="C2998" s="6" t="s">
        <v>421</v>
      </c>
      <c r="D2998" s="6" t="s">
        <v>35</v>
      </c>
      <c r="E2998" s="6" t="s">
        <v>39</v>
      </c>
      <c r="F2998" s="6" t="s">
        <v>162</v>
      </c>
      <c r="G2998" s="6" t="s">
        <v>257</v>
      </c>
      <c r="H2998" s="6" t="s">
        <v>422</v>
      </c>
      <c r="I2998" s="6" t="s">
        <v>63</v>
      </c>
      <c r="J2998" s="6">
        <v>16.421786790470001</v>
      </c>
      <c r="K2998" s="6">
        <v>-95.028602051369006</v>
      </c>
      <c r="L2998" s="6" t="str">
        <f>HYPERLINK("https://maps.google.com/?q=16.4217867904703,-95.028602051368907", "🔗 Ver Mapa")</f>
        <v>🔗 Ver Mapa</v>
      </c>
    </row>
    <row r="2999" spans="1:12" ht="43.5" x14ac:dyDescent="0.35">
      <c r="A2999" s="5" t="s">
        <v>8</v>
      </c>
      <c r="B2999" s="5" t="s">
        <v>16</v>
      </c>
      <c r="C2999" s="5" t="s">
        <v>421</v>
      </c>
      <c r="D2999" s="5" t="s">
        <v>35</v>
      </c>
      <c r="E2999" s="5" t="s">
        <v>39</v>
      </c>
      <c r="F2999" s="5" t="s">
        <v>162</v>
      </c>
      <c r="G2999" s="5" t="s">
        <v>257</v>
      </c>
      <c r="H2999" s="5" t="s">
        <v>422</v>
      </c>
      <c r="I2999" s="5" t="s">
        <v>63</v>
      </c>
      <c r="J2999" s="5">
        <v>16.421882457353</v>
      </c>
      <c r="K2999" s="5">
        <v>-95.015017647822006</v>
      </c>
      <c r="L2999" s="5" t="str">
        <f>HYPERLINK("https://maps.google.com/?q=16.4218824573534,-95.015017647821793", "🔗 Ver Mapa")</f>
        <v>🔗 Ver Mapa</v>
      </c>
    </row>
    <row r="3000" spans="1:12" ht="43.5" x14ac:dyDescent="0.35">
      <c r="A3000" s="6" t="s">
        <v>8</v>
      </c>
      <c r="B3000" s="6" t="s">
        <v>16</v>
      </c>
      <c r="C3000" s="6" t="s">
        <v>421</v>
      </c>
      <c r="D3000" s="6" t="s">
        <v>35</v>
      </c>
      <c r="E3000" s="6" t="s">
        <v>39</v>
      </c>
      <c r="F3000" s="6" t="s">
        <v>162</v>
      </c>
      <c r="G3000" s="6" t="s">
        <v>257</v>
      </c>
      <c r="H3000" s="6" t="s">
        <v>422</v>
      </c>
      <c r="I3000" s="6" t="s">
        <v>63</v>
      </c>
      <c r="J3000" s="6">
        <v>16.421900561459001</v>
      </c>
      <c r="K3000" s="6">
        <v>-95.027620464229003</v>
      </c>
      <c r="L3000" s="6" t="str">
        <f>HYPERLINK("https://maps.google.com/?q=16.4219005614593,-95.0276204642294", "🔗 Ver Mapa")</f>
        <v>🔗 Ver Mapa</v>
      </c>
    </row>
    <row r="3001" spans="1:12" ht="43.5" x14ac:dyDescent="0.35">
      <c r="A3001" s="5" t="s">
        <v>8</v>
      </c>
      <c r="B3001" s="5" t="s">
        <v>16</v>
      </c>
      <c r="C3001" s="5" t="s">
        <v>421</v>
      </c>
      <c r="D3001" s="5" t="s">
        <v>35</v>
      </c>
      <c r="E3001" s="5" t="s">
        <v>39</v>
      </c>
      <c r="F3001" s="5" t="s">
        <v>162</v>
      </c>
      <c r="G3001" s="5" t="s">
        <v>257</v>
      </c>
      <c r="H3001" s="5" t="s">
        <v>422</v>
      </c>
      <c r="I3001" s="5" t="s">
        <v>63</v>
      </c>
      <c r="J3001" s="5">
        <v>16.421976803789001</v>
      </c>
      <c r="K3001" s="5">
        <v>-95.023960293971996</v>
      </c>
      <c r="L3001" s="5" t="str">
        <f>HYPERLINK("https://maps.google.com/?q=16.4219768037893,-95.023960293971598", "🔗 Ver Mapa")</f>
        <v>🔗 Ver Mapa</v>
      </c>
    </row>
    <row r="3002" spans="1:12" ht="43.5" x14ac:dyDescent="0.35">
      <c r="A3002" s="6" t="s">
        <v>8</v>
      </c>
      <c r="B3002" s="6" t="s">
        <v>16</v>
      </c>
      <c r="C3002" s="6" t="s">
        <v>421</v>
      </c>
      <c r="D3002" s="6" t="s">
        <v>35</v>
      </c>
      <c r="E3002" s="6" t="s">
        <v>39</v>
      </c>
      <c r="F3002" s="6" t="s">
        <v>162</v>
      </c>
      <c r="G3002" s="6" t="s">
        <v>257</v>
      </c>
      <c r="H3002" s="6" t="s">
        <v>422</v>
      </c>
      <c r="I3002" s="6" t="s">
        <v>63</v>
      </c>
      <c r="J3002" s="6">
        <v>16.422329975023999</v>
      </c>
      <c r="K3002" s="6">
        <v>-95.027779496456006</v>
      </c>
      <c r="L3002" s="6" t="str">
        <f>HYPERLINK("https://maps.google.com/?q=16.4223299750242,-95.027779496456205", "🔗 Ver Mapa")</f>
        <v>🔗 Ver Mapa</v>
      </c>
    </row>
    <row r="3003" spans="1:12" ht="43.5" x14ac:dyDescent="0.35">
      <c r="A3003" s="5" t="s">
        <v>8</v>
      </c>
      <c r="B3003" s="5" t="s">
        <v>16</v>
      </c>
      <c r="C3003" s="5" t="s">
        <v>421</v>
      </c>
      <c r="D3003" s="5" t="s">
        <v>35</v>
      </c>
      <c r="E3003" s="5" t="s">
        <v>39</v>
      </c>
      <c r="F3003" s="5" t="s">
        <v>162</v>
      </c>
      <c r="G3003" s="5" t="s">
        <v>257</v>
      </c>
      <c r="H3003" s="5" t="s">
        <v>422</v>
      </c>
      <c r="I3003" s="5" t="s">
        <v>63</v>
      </c>
      <c r="J3003" s="5">
        <v>16.422359240441999</v>
      </c>
      <c r="K3003" s="5">
        <v>-95.027620910196006</v>
      </c>
      <c r="L3003" s="5" t="str">
        <f>HYPERLINK("https://maps.google.com/?q=16.4223592404419,-95.027620910196205", "🔗 Ver Mapa")</f>
        <v>🔗 Ver Mapa</v>
      </c>
    </row>
    <row r="3004" spans="1:12" ht="43.5" x14ac:dyDescent="0.35">
      <c r="A3004" s="6" t="s">
        <v>8</v>
      </c>
      <c r="B3004" s="6" t="s">
        <v>16</v>
      </c>
      <c r="C3004" s="6" t="s">
        <v>421</v>
      </c>
      <c r="D3004" s="6" t="s">
        <v>35</v>
      </c>
      <c r="E3004" s="6" t="s">
        <v>39</v>
      </c>
      <c r="F3004" s="6" t="s">
        <v>162</v>
      </c>
      <c r="G3004" s="6" t="s">
        <v>257</v>
      </c>
      <c r="H3004" s="6" t="s">
        <v>422</v>
      </c>
      <c r="I3004" s="6" t="s">
        <v>63</v>
      </c>
      <c r="J3004" s="6">
        <v>16.422935986329001</v>
      </c>
      <c r="K3004" s="6">
        <v>-95.015278804461005</v>
      </c>
      <c r="L3004" s="6" t="str">
        <f>HYPERLINK("https://maps.google.com/?q=16.4229359863291,-95.015278804461303", "🔗 Ver Mapa")</f>
        <v>🔗 Ver Mapa</v>
      </c>
    </row>
    <row r="3005" spans="1:12" ht="43.5" x14ac:dyDescent="0.35">
      <c r="A3005" s="5" t="s">
        <v>8</v>
      </c>
      <c r="B3005" s="5" t="s">
        <v>16</v>
      </c>
      <c r="C3005" s="5" t="s">
        <v>421</v>
      </c>
      <c r="D3005" s="5" t="s">
        <v>35</v>
      </c>
      <c r="E3005" s="5" t="s">
        <v>39</v>
      </c>
      <c r="F3005" s="5" t="s">
        <v>162</v>
      </c>
      <c r="G3005" s="5" t="s">
        <v>257</v>
      </c>
      <c r="H3005" s="5" t="s">
        <v>422</v>
      </c>
      <c r="I3005" s="5" t="s">
        <v>63</v>
      </c>
      <c r="J3005" s="5">
        <v>16.423010973372001</v>
      </c>
      <c r="K3005" s="5">
        <v>-95.025847423228001</v>
      </c>
      <c r="L3005" s="5" t="str">
        <f>HYPERLINK("https://maps.google.com/?q=16.4230109733719,-95.025847423228498", "🔗 Ver Mapa")</f>
        <v>🔗 Ver Mapa</v>
      </c>
    </row>
    <row r="3006" spans="1:12" ht="43.5" x14ac:dyDescent="0.35">
      <c r="A3006" s="6" t="s">
        <v>8</v>
      </c>
      <c r="B3006" s="6" t="s">
        <v>16</v>
      </c>
      <c r="C3006" s="6" t="s">
        <v>421</v>
      </c>
      <c r="D3006" s="6" t="s">
        <v>35</v>
      </c>
      <c r="E3006" s="6" t="s">
        <v>39</v>
      </c>
      <c r="F3006" s="6" t="s">
        <v>162</v>
      </c>
      <c r="G3006" s="6" t="s">
        <v>257</v>
      </c>
      <c r="H3006" s="6" t="s">
        <v>422</v>
      </c>
      <c r="I3006" s="6" t="s">
        <v>63</v>
      </c>
      <c r="J3006" s="6">
        <v>16.423498223984001</v>
      </c>
      <c r="K3006" s="6">
        <v>-95.026471915494994</v>
      </c>
      <c r="L3006" s="6" t="str">
        <f>HYPERLINK("https://maps.google.com/?q=16.423498223984,-95.026471915495193", "🔗 Ver Mapa")</f>
        <v>🔗 Ver Mapa</v>
      </c>
    </row>
    <row r="3007" spans="1:12" ht="43.5" x14ac:dyDescent="0.35">
      <c r="A3007" s="5" t="s">
        <v>8</v>
      </c>
      <c r="B3007" s="5" t="s">
        <v>16</v>
      </c>
      <c r="C3007" s="5" t="s">
        <v>421</v>
      </c>
      <c r="D3007" s="5" t="s">
        <v>35</v>
      </c>
      <c r="E3007" s="5" t="s">
        <v>39</v>
      </c>
      <c r="F3007" s="5" t="s">
        <v>162</v>
      </c>
      <c r="G3007" s="5" t="s">
        <v>257</v>
      </c>
      <c r="H3007" s="5" t="s">
        <v>422</v>
      </c>
      <c r="I3007" s="5" t="s">
        <v>63</v>
      </c>
      <c r="J3007" s="5">
        <v>16.423518806141001</v>
      </c>
      <c r="K3007" s="5">
        <v>-95.026827978745004</v>
      </c>
      <c r="L3007" s="5" t="str">
        <f>HYPERLINK("https://maps.google.com/?q=16.4235188061414,-95.026827978745303", "🔗 Ver Mapa")</f>
        <v>🔗 Ver Mapa</v>
      </c>
    </row>
    <row r="3008" spans="1:12" ht="43.5" x14ac:dyDescent="0.35">
      <c r="A3008" s="6" t="s">
        <v>8</v>
      </c>
      <c r="B3008" s="6" t="s">
        <v>16</v>
      </c>
      <c r="C3008" s="6" t="s">
        <v>421</v>
      </c>
      <c r="D3008" s="6" t="s">
        <v>35</v>
      </c>
      <c r="E3008" s="6" t="s">
        <v>39</v>
      </c>
      <c r="F3008" s="6" t="s">
        <v>162</v>
      </c>
      <c r="G3008" s="6" t="s">
        <v>257</v>
      </c>
      <c r="H3008" s="6" t="s">
        <v>422</v>
      </c>
      <c r="I3008" s="6" t="s">
        <v>63</v>
      </c>
      <c r="J3008" s="6">
        <v>16.423539075958999</v>
      </c>
      <c r="K3008" s="6">
        <v>-95.015100566851999</v>
      </c>
      <c r="L3008" s="6" t="str">
        <f>HYPERLINK("https://maps.google.com/?q=16.4235390759595,-95.015100566852198", "🔗 Ver Mapa")</f>
        <v>🔗 Ver Mapa</v>
      </c>
    </row>
    <row r="3009" spans="1:12" ht="43.5" x14ac:dyDescent="0.35">
      <c r="A3009" s="5" t="s">
        <v>8</v>
      </c>
      <c r="B3009" s="5" t="s">
        <v>16</v>
      </c>
      <c r="C3009" s="5" t="s">
        <v>421</v>
      </c>
      <c r="D3009" s="5" t="s">
        <v>35</v>
      </c>
      <c r="E3009" s="5" t="s">
        <v>39</v>
      </c>
      <c r="F3009" s="5" t="s">
        <v>162</v>
      </c>
      <c r="G3009" s="5" t="s">
        <v>257</v>
      </c>
      <c r="H3009" s="5" t="s">
        <v>422</v>
      </c>
      <c r="I3009" s="5" t="s">
        <v>63</v>
      </c>
      <c r="J3009" s="5">
        <v>16.423691956580001</v>
      </c>
      <c r="K3009" s="5">
        <v>-95.029021913877003</v>
      </c>
      <c r="L3009" s="5" t="str">
        <f>HYPERLINK("https://maps.google.com/?q=16.4236919565803,-95.029021913876605", "🔗 Ver Mapa")</f>
        <v>🔗 Ver Mapa</v>
      </c>
    </row>
    <row r="3010" spans="1:12" ht="43.5" x14ac:dyDescent="0.35">
      <c r="A3010" s="6" t="s">
        <v>8</v>
      </c>
      <c r="B3010" s="6" t="s">
        <v>16</v>
      </c>
      <c r="C3010" s="6" t="s">
        <v>421</v>
      </c>
      <c r="D3010" s="6" t="s">
        <v>35</v>
      </c>
      <c r="E3010" s="6" t="s">
        <v>39</v>
      </c>
      <c r="F3010" s="6" t="s">
        <v>162</v>
      </c>
      <c r="G3010" s="6" t="s">
        <v>257</v>
      </c>
      <c r="H3010" s="6" t="s">
        <v>422</v>
      </c>
      <c r="I3010" s="6" t="s">
        <v>63</v>
      </c>
      <c r="J3010" s="6">
        <v>16.423733027916999</v>
      </c>
      <c r="K3010" s="6">
        <v>-95.024172534724997</v>
      </c>
      <c r="L3010" s="6" t="str">
        <f>HYPERLINK("https://maps.google.com/?q=16.4237330279165,-95.024172534724798", "🔗 Ver Mapa")</f>
        <v>🔗 Ver Mapa</v>
      </c>
    </row>
    <row r="3011" spans="1:12" ht="43.5" x14ac:dyDescent="0.35">
      <c r="A3011" s="5" t="s">
        <v>8</v>
      </c>
      <c r="B3011" s="5" t="s">
        <v>16</v>
      </c>
      <c r="C3011" s="5" t="s">
        <v>421</v>
      </c>
      <c r="D3011" s="5" t="s">
        <v>35</v>
      </c>
      <c r="E3011" s="5" t="s">
        <v>39</v>
      </c>
      <c r="F3011" s="5" t="s">
        <v>162</v>
      </c>
      <c r="G3011" s="5" t="s">
        <v>257</v>
      </c>
      <c r="H3011" s="5" t="s">
        <v>422</v>
      </c>
      <c r="I3011" s="5" t="s">
        <v>63</v>
      </c>
      <c r="J3011" s="5">
        <v>16.423936333095</v>
      </c>
      <c r="K3011" s="5">
        <v>-95.013603586309998</v>
      </c>
      <c r="L3011" s="5" t="str">
        <f>HYPERLINK("https://maps.google.com/?q=16.4239363330951,-95.013603586310396", "🔗 Ver Mapa")</f>
        <v>🔗 Ver Mapa</v>
      </c>
    </row>
    <row r="3012" spans="1:12" ht="43.5" x14ac:dyDescent="0.35">
      <c r="A3012" s="6" t="s">
        <v>8</v>
      </c>
      <c r="B3012" s="6" t="s">
        <v>16</v>
      </c>
      <c r="C3012" s="6" t="s">
        <v>421</v>
      </c>
      <c r="D3012" s="6" t="s">
        <v>35</v>
      </c>
      <c r="E3012" s="6" t="s">
        <v>39</v>
      </c>
      <c r="F3012" s="6" t="s">
        <v>162</v>
      </c>
      <c r="G3012" s="6" t="s">
        <v>257</v>
      </c>
      <c r="H3012" s="6" t="s">
        <v>422</v>
      </c>
      <c r="I3012" s="6" t="s">
        <v>63</v>
      </c>
      <c r="J3012" s="6">
        <v>16.424074333732001</v>
      </c>
      <c r="K3012" s="6">
        <v>-95.029282591053004</v>
      </c>
      <c r="L3012" s="6" t="str">
        <f>HYPERLINK("https://maps.google.com/?q=16.424074333732,-95.029282591053303", "🔗 Ver Mapa")</f>
        <v>🔗 Ver Mapa</v>
      </c>
    </row>
    <row r="3013" spans="1:12" ht="43.5" x14ac:dyDescent="0.35">
      <c r="A3013" s="5" t="s">
        <v>8</v>
      </c>
      <c r="B3013" s="5" t="s">
        <v>16</v>
      </c>
      <c r="C3013" s="5" t="s">
        <v>421</v>
      </c>
      <c r="D3013" s="5" t="s">
        <v>35</v>
      </c>
      <c r="E3013" s="5" t="s">
        <v>39</v>
      </c>
      <c r="F3013" s="5" t="s">
        <v>162</v>
      </c>
      <c r="G3013" s="5" t="s">
        <v>257</v>
      </c>
      <c r="H3013" s="5" t="s">
        <v>422</v>
      </c>
      <c r="I3013" s="5" t="s">
        <v>63</v>
      </c>
      <c r="J3013" s="5">
        <v>16.424283705491</v>
      </c>
      <c r="K3013" s="5">
        <v>-95.029241643526007</v>
      </c>
      <c r="L3013" s="5" t="str">
        <f>HYPERLINK("https://maps.google.com/?q=16.4242837054908,-95.029241643525694", "🔗 Ver Mapa")</f>
        <v>🔗 Ver Mapa</v>
      </c>
    </row>
    <row r="3014" spans="1:12" ht="43.5" x14ac:dyDescent="0.35">
      <c r="A3014" s="6" t="s">
        <v>8</v>
      </c>
      <c r="B3014" s="6" t="s">
        <v>16</v>
      </c>
      <c r="C3014" s="6" t="s">
        <v>421</v>
      </c>
      <c r="D3014" s="6" t="s">
        <v>35</v>
      </c>
      <c r="E3014" s="6" t="s">
        <v>39</v>
      </c>
      <c r="F3014" s="6" t="s">
        <v>162</v>
      </c>
      <c r="G3014" s="6" t="s">
        <v>257</v>
      </c>
      <c r="H3014" s="6" t="s">
        <v>422</v>
      </c>
      <c r="I3014" s="6" t="s">
        <v>63</v>
      </c>
      <c r="J3014" s="6">
        <v>16.424329371961999</v>
      </c>
      <c r="K3014" s="6">
        <v>-95.029081549186003</v>
      </c>
      <c r="L3014" s="6" t="str">
        <f>HYPERLINK("https://maps.google.com/?q=16.4243293719619,-95.029081549185605", "🔗 Ver Mapa")</f>
        <v>🔗 Ver Mapa</v>
      </c>
    </row>
    <row r="3015" spans="1:12" ht="43.5" x14ac:dyDescent="0.35">
      <c r="A3015" s="5" t="s">
        <v>8</v>
      </c>
      <c r="B3015" s="5" t="s">
        <v>16</v>
      </c>
      <c r="C3015" s="5" t="s">
        <v>421</v>
      </c>
      <c r="D3015" s="5" t="s">
        <v>35</v>
      </c>
      <c r="E3015" s="5" t="s">
        <v>39</v>
      </c>
      <c r="F3015" s="5" t="s">
        <v>162</v>
      </c>
      <c r="G3015" s="5" t="s">
        <v>257</v>
      </c>
      <c r="H3015" s="5" t="s">
        <v>422</v>
      </c>
      <c r="I3015" s="5" t="s">
        <v>63</v>
      </c>
      <c r="J3015" s="5">
        <v>16.424422820185001</v>
      </c>
      <c r="K3015" s="5">
        <v>-95.015356717806</v>
      </c>
      <c r="L3015" s="5" t="str">
        <f>HYPERLINK("https://maps.google.com/?q=16.4244228201853,-95.015356717805602", "🔗 Ver Mapa")</f>
        <v>🔗 Ver Mapa</v>
      </c>
    </row>
    <row r="3016" spans="1:12" ht="43.5" x14ac:dyDescent="0.35">
      <c r="A3016" s="6" t="s">
        <v>8</v>
      </c>
      <c r="B3016" s="6" t="s">
        <v>16</v>
      </c>
      <c r="C3016" s="6" t="s">
        <v>421</v>
      </c>
      <c r="D3016" s="6" t="s">
        <v>35</v>
      </c>
      <c r="E3016" s="6" t="s">
        <v>39</v>
      </c>
      <c r="F3016" s="6" t="s">
        <v>162</v>
      </c>
      <c r="G3016" s="6" t="s">
        <v>257</v>
      </c>
      <c r="H3016" s="6" t="s">
        <v>422</v>
      </c>
      <c r="I3016" s="6" t="s">
        <v>63</v>
      </c>
      <c r="J3016" s="6">
        <v>16.424581850014</v>
      </c>
      <c r="K3016" s="6">
        <v>-95.018352520785996</v>
      </c>
      <c r="L3016" s="6" t="str">
        <f>HYPERLINK("https://maps.google.com/?q=16.4245818500143,-95.018352520786493", "🔗 Ver Mapa")</f>
        <v>🔗 Ver Mapa</v>
      </c>
    </row>
    <row r="3017" spans="1:12" ht="43.5" x14ac:dyDescent="0.35">
      <c r="A3017" s="5" t="s">
        <v>8</v>
      </c>
      <c r="B3017" s="5" t="s">
        <v>16</v>
      </c>
      <c r="C3017" s="5" t="s">
        <v>421</v>
      </c>
      <c r="D3017" s="5" t="s">
        <v>35</v>
      </c>
      <c r="E3017" s="5" t="s">
        <v>39</v>
      </c>
      <c r="F3017" s="5" t="s">
        <v>162</v>
      </c>
      <c r="G3017" s="5" t="s">
        <v>257</v>
      </c>
      <c r="H3017" s="5" t="s">
        <v>422</v>
      </c>
      <c r="I3017" s="5" t="s">
        <v>63</v>
      </c>
      <c r="J3017" s="5">
        <v>16.425022262715999</v>
      </c>
      <c r="K3017" s="5">
        <v>-95.029773755383005</v>
      </c>
      <c r="L3017" s="5" t="str">
        <f>HYPERLINK("https://maps.google.com/?q=16.425022262716,-95.029773755383005", "🔗 Ver Mapa")</f>
        <v>🔗 Ver Mapa</v>
      </c>
    </row>
    <row r="3018" spans="1:12" ht="43.5" x14ac:dyDescent="0.35">
      <c r="A3018" s="6" t="s">
        <v>8</v>
      </c>
      <c r="B3018" s="6" t="s">
        <v>16</v>
      </c>
      <c r="C3018" s="6" t="s">
        <v>421</v>
      </c>
      <c r="D3018" s="6" t="s">
        <v>35</v>
      </c>
      <c r="E3018" s="6" t="s">
        <v>39</v>
      </c>
      <c r="F3018" s="6" t="s">
        <v>162</v>
      </c>
      <c r="G3018" s="6" t="s">
        <v>257</v>
      </c>
      <c r="H3018" s="6" t="s">
        <v>422</v>
      </c>
      <c r="I3018" s="6" t="s">
        <v>63</v>
      </c>
      <c r="J3018" s="6">
        <v>16.425074439999999</v>
      </c>
      <c r="K3018" s="6">
        <v>-95.017180909999993</v>
      </c>
      <c r="L3018" s="6" t="str">
        <f>HYPERLINK("https://maps.google.com/?q=16.42507444,-95.017180909999993", "🔗 Ver Mapa")</f>
        <v>🔗 Ver Mapa</v>
      </c>
    </row>
    <row r="3019" spans="1:12" ht="43.5" x14ac:dyDescent="0.35">
      <c r="A3019" s="5" t="s">
        <v>8</v>
      </c>
      <c r="B3019" s="5" t="s">
        <v>16</v>
      </c>
      <c r="C3019" s="5" t="s">
        <v>421</v>
      </c>
      <c r="D3019" s="5" t="s">
        <v>35</v>
      </c>
      <c r="E3019" s="5" t="s">
        <v>39</v>
      </c>
      <c r="F3019" s="5" t="s">
        <v>162</v>
      </c>
      <c r="G3019" s="5" t="s">
        <v>257</v>
      </c>
      <c r="H3019" s="5" t="s">
        <v>422</v>
      </c>
      <c r="I3019" s="5" t="s">
        <v>63</v>
      </c>
      <c r="J3019" s="5">
        <v>16.425151477888999</v>
      </c>
      <c r="K3019" s="5">
        <v>-95.013707857176001</v>
      </c>
      <c r="L3019" s="5" t="str">
        <f>HYPERLINK("https://maps.google.com/?q=16.4251514778886,-95.013707857175703", "🔗 Ver Mapa")</f>
        <v>🔗 Ver Mapa</v>
      </c>
    </row>
    <row r="3020" spans="1:12" ht="43.5" x14ac:dyDescent="0.35">
      <c r="A3020" s="6" t="s">
        <v>8</v>
      </c>
      <c r="B3020" s="6" t="s">
        <v>16</v>
      </c>
      <c r="C3020" s="6" t="s">
        <v>421</v>
      </c>
      <c r="D3020" s="6" t="s">
        <v>35</v>
      </c>
      <c r="E3020" s="6" t="s">
        <v>39</v>
      </c>
      <c r="F3020" s="6" t="s">
        <v>162</v>
      </c>
      <c r="G3020" s="6" t="s">
        <v>257</v>
      </c>
      <c r="H3020" s="6" t="s">
        <v>422</v>
      </c>
      <c r="I3020" s="6" t="s">
        <v>63</v>
      </c>
      <c r="J3020" s="6">
        <v>16.425279025881999</v>
      </c>
      <c r="K3020" s="6">
        <v>-95.029305557468007</v>
      </c>
      <c r="L3020" s="6" t="str">
        <f>HYPERLINK("https://maps.google.com/?q=16.4252790258819,-95.029305557467694", "🔗 Ver Mapa")</f>
        <v>🔗 Ver Mapa</v>
      </c>
    </row>
    <row r="3021" spans="1:12" ht="43.5" x14ac:dyDescent="0.35">
      <c r="A3021" s="5" t="s">
        <v>8</v>
      </c>
      <c r="B3021" s="5" t="s">
        <v>16</v>
      </c>
      <c r="C3021" s="5" t="s">
        <v>421</v>
      </c>
      <c r="D3021" s="5" t="s">
        <v>35</v>
      </c>
      <c r="E3021" s="5" t="s">
        <v>39</v>
      </c>
      <c r="F3021" s="5" t="s">
        <v>162</v>
      </c>
      <c r="G3021" s="5" t="s">
        <v>257</v>
      </c>
      <c r="H3021" s="5" t="s">
        <v>422</v>
      </c>
      <c r="I3021" s="5" t="s">
        <v>63</v>
      </c>
      <c r="J3021" s="5">
        <v>16.425452225162001</v>
      </c>
      <c r="K3021" s="5">
        <v>-95.018964623347998</v>
      </c>
      <c r="L3021" s="5" t="str">
        <f>HYPERLINK("https://maps.google.com/?q=16.4254522251621,-95.018964623348396", "🔗 Ver Mapa")</f>
        <v>🔗 Ver Mapa</v>
      </c>
    </row>
    <row r="3022" spans="1:12" ht="43.5" x14ac:dyDescent="0.35">
      <c r="A3022" s="6" t="s">
        <v>8</v>
      </c>
      <c r="B3022" s="6" t="s">
        <v>16</v>
      </c>
      <c r="C3022" s="6" t="s">
        <v>421</v>
      </c>
      <c r="D3022" s="6" t="s">
        <v>35</v>
      </c>
      <c r="E3022" s="6" t="s">
        <v>39</v>
      </c>
      <c r="F3022" s="6" t="s">
        <v>162</v>
      </c>
      <c r="G3022" s="6" t="s">
        <v>257</v>
      </c>
      <c r="H3022" s="6" t="s">
        <v>422</v>
      </c>
      <c r="I3022" s="6" t="s">
        <v>63</v>
      </c>
      <c r="J3022" s="6">
        <v>16.425516720548998</v>
      </c>
      <c r="K3022" s="6">
        <v>-95.016178742305996</v>
      </c>
      <c r="L3022" s="6" t="str">
        <f>HYPERLINK("https://maps.google.com/?q=16.4255167205494,-95.016178742305598", "🔗 Ver Mapa")</f>
        <v>🔗 Ver Mapa</v>
      </c>
    </row>
    <row r="3023" spans="1:12" ht="43.5" x14ac:dyDescent="0.35">
      <c r="A3023" s="5" t="s">
        <v>8</v>
      </c>
      <c r="B3023" s="5" t="s">
        <v>16</v>
      </c>
      <c r="C3023" s="5" t="s">
        <v>421</v>
      </c>
      <c r="D3023" s="5" t="s">
        <v>35</v>
      </c>
      <c r="E3023" s="5" t="s">
        <v>39</v>
      </c>
      <c r="F3023" s="5" t="s">
        <v>162</v>
      </c>
      <c r="G3023" s="5" t="s">
        <v>257</v>
      </c>
      <c r="H3023" s="5" t="s">
        <v>422</v>
      </c>
      <c r="I3023" s="5" t="s">
        <v>63</v>
      </c>
      <c r="J3023" s="5">
        <v>16.425565425862001</v>
      </c>
      <c r="K3023" s="5">
        <v>-95.015575652259002</v>
      </c>
      <c r="L3023" s="5" t="str">
        <f>HYPERLINK("https://maps.google.com/?q=16.4255654258619,-95.015575652259102", "🔗 Ver Mapa")</f>
        <v>🔗 Ver Mapa</v>
      </c>
    </row>
    <row r="3024" spans="1:12" ht="43.5" x14ac:dyDescent="0.35">
      <c r="A3024" s="6" t="s">
        <v>8</v>
      </c>
      <c r="B3024" s="6" t="s">
        <v>16</v>
      </c>
      <c r="C3024" s="6" t="s">
        <v>421</v>
      </c>
      <c r="D3024" s="6" t="s">
        <v>35</v>
      </c>
      <c r="E3024" s="6" t="s">
        <v>39</v>
      </c>
      <c r="F3024" s="6" t="s">
        <v>162</v>
      </c>
      <c r="G3024" s="6" t="s">
        <v>257</v>
      </c>
      <c r="H3024" s="6" t="s">
        <v>422</v>
      </c>
      <c r="I3024" s="6" t="s">
        <v>63</v>
      </c>
      <c r="J3024" s="6">
        <v>16.425606574722998</v>
      </c>
      <c r="K3024" s="6">
        <v>-95.029741560765004</v>
      </c>
      <c r="L3024" s="6" t="str">
        <f>HYPERLINK("https://maps.google.com/?q=16.4256065747225,-95.029741560765302", "🔗 Ver Mapa")</f>
        <v>🔗 Ver Mapa</v>
      </c>
    </row>
    <row r="3025" spans="1:12" ht="43.5" x14ac:dyDescent="0.35">
      <c r="A3025" s="5" t="s">
        <v>8</v>
      </c>
      <c r="B3025" s="5" t="s">
        <v>16</v>
      </c>
      <c r="C3025" s="5" t="s">
        <v>421</v>
      </c>
      <c r="D3025" s="5" t="s">
        <v>35</v>
      </c>
      <c r="E3025" s="5" t="s">
        <v>39</v>
      </c>
      <c r="F3025" s="5" t="s">
        <v>162</v>
      </c>
      <c r="G3025" s="5" t="s">
        <v>257</v>
      </c>
      <c r="H3025" s="5" t="s">
        <v>422</v>
      </c>
      <c r="I3025" s="5" t="s">
        <v>63</v>
      </c>
      <c r="J3025" s="5">
        <v>16.425618451350999</v>
      </c>
      <c r="K3025" s="5">
        <v>-95.018007746893005</v>
      </c>
      <c r="L3025" s="5" t="str">
        <f>HYPERLINK("https://maps.google.com/?q=16.4256184513513,-95.018007746893304", "🔗 Ver Mapa")</f>
        <v>🔗 Ver Mapa</v>
      </c>
    </row>
    <row r="3026" spans="1:12" ht="43.5" x14ac:dyDescent="0.35">
      <c r="A3026" s="6" t="s">
        <v>8</v>
      </c>
      <c r="B3026" s="6" t="s">
        <v>16</v>
      </c>
      <c r="C3026" s="6" t="s">
        <v>421</v>
      </c>
      <c r="D3026" s="6" t="s">
        <v>35</v>
      </c>
      <c r="E3026" s="6" t="s">
        <v>39</v>
      </c>
      <c r="F3026" s="6" t="s">
        <v>162</v>
      </c>
      <c r="G3026" s="6" t="s">
        <v>257</v>
      </c>
      <c r="H3026" s="6" t="s">
        <v>422</v>
      </c>
      <c r="I3026" s="6" t="s">
        <v>63</v>
      </c>
      <c r="J3026" s="6">
        <v>16.425643600746</v>
      </c>
      <c r="K3026" s="6">
        <v>-95.022172296983996</v>
      </c>
      <c r="L3026" s="6" t="str">
        <f>HYPERLINK("https://maps.google.com/?q=16.4256436007457,-95.0221722969837", "🔗 Ver Mapa")</f>
        <v>🔗 Ver Mapa</v>
      </c>
    </row>
    <row r="3027" spans="1:12" ht="43.5" x14ac:dyDescent="0.35">
      <c r="A3027" s="5" t="s">
        <v>8</v>
      </c>
      <c r="B3027" s="5" t="s">
        <v>16</v>
      </c>
      <c r="C3027" s="5" t="s">
        <v>421</v>
      </c>
      <c r="D3027" s="5" t="s">
        <v>35</v>
      </c>
      <c r="E3027" s="5" t="s">
        <v>39</v>
      </c>
      <c r="F3027" s="5" t="s">
        <v>162</v>
      </c>
      <c r="G3027" s="5" t="s">
        <v>257</v>
      </c>
      <c r="H3027" s="5" t="s">
        <v>422</v>
      </c>
      <c r="I3027" s="5" t="s">
        <v>63</v>
      </c>
      <c r="J3027" s="5">
        <v>16.425652986193999</v>
      </c>
      <c r="K3027" s="5">
        <v>-95.015062845163996</v>
      </c>
      <c r="L3027" s="5" t="str">
        <f>HYPERLINK("https://maps.google.com/?q=16.4256529861936,-95.015062845163897", "🔗 Ver Mapa")</f>
        <v>🔗 Ver Mapa</v>
      </c>
    </row>
    <row r="3028" spans="1:12" ht="43.5" x14ac:dyDescent="0.35">
      <c r="A3028" s="6" t="s">
        <v>8</v>
      </c>
      <c r="B3028" s="6" t="s">
        <v>16</v>
      </c>
      <c r="C3028" s="6" t="s">
        <v>421</v>
      </c>
      <c r="D3028" s="6" t="s">
        <v>35</v>
      </c>
      <c r="E3028" s="6" t="s">
        <v>39</v>
      </c>
      <c r="F3028" s="6" t="s">
        <v>162</v>
      </c>
      <c r="G3028" s="6" t="s">
        <v>257</v>
      </c>
      <c r="H3028" s="6" t="s">
        <v>422</v>
      </c>
      <c r="I3028" s="6" t="s">
        <v>63</v>
      </c>
      <c r="J3028" s="6">
        <v>16.425692776569999</v>
      </c>
      <c r="K3028" s="6">
        <v>-95.013938163655993</v>
      </c>
      <c r="L3028" s="6" t="str">
        <f>HYPERLINK("https://maps.google.com/?q=16.4256927765703,-95.013938163655993", "🔗 Ver Mapa")</f>
        <v>🔗 Ver Mapa</v>
      </c>
    </row>
    <row r="3029" spans="1:12" ht="43.5" x14ac:dyDescent="0.35">
      <c r="A3029" s="5" t="s">
        <v>8</v>
      </c>
      <c r="B3029" s="5" t="s">
        <v>16</v>
      </c>
      <c r="C3029" s="5" t="s">
        <v>421</v>
      </c>
      <c r="D3029" s="5" t="s">
        <v>35</v>
      </c>
      <c r="E3029" s="5" t="s">
        <v>39</v>
      </c>
      <c r="F3029" s="5" t="s">
        <v>162</v>
      </c>
      <c r="G3029" s="5" t="s">
        <v>257</v>
      </c>
      <c r="H3029" s="5" t="s">
        <v>422</v>
      </c>
      <c r="I3029" s="5" t="s">
        <v>63</v>
      </c>
      <c r="J3029" s="5">
        <v>16.425739743554999</v>
      </c>
      <c r="K3029" s="5">
        <v>-95.015719813054005</v>
      </c>
      <c r="L3029" s="5" t="str">
        <f>HYPERLINK("https://maps.google.com/?q=16.4257397435549,-95.015719813054304", "🔗 Ver Mapa")</f>
        <v>🔗 Ver Mapa</v>
      </c>
    </row>
    <row r="3030" spans="1:12" ht="43.5" x14ac:dyDescent="0.35">
      <c r="A3030" s="6" t="s">
        <v>8</v>
      </c>
      <c r="B3030" s="6" t="s">
        <v>16</v>
      </c>
      <c r="C3030" s="6" t="s">
        <v>421</v>
      </c>
      <c r="D3030" s="6" t="s">
        <v>35</v>
      </c>
      <c r="E3030" s="6" t="s">
        <v>39</v>
      </c>
      <c r="F3030" s="6" t="s">
        <v>162</v>
      </c>
      <c r="G3030" s="6" t="s">
        <v>257</v>
      </c>
      <c r="H3030" s="6" t="s">
        <v>422</v>
      </c>
      <c r="I3030" s="6" t="s">
        <v>63</v>
      </c>
      <c r="J3030" s="6">
        <v>16.425779761604002</v>
      </c>
      <c r="K3030" s="6">
        <v>-95.015451992813993</v>
      </c>
      <c r="L3030" s="6" t="str">
        <f>HYPERLINK("https://maps.google.com/?q=16.4257797616044,-95.015451992814405", "🔗 Ver Mapa")</f>
        <v>🔗 Ver Mapa</v>
      </c>
    </row>
    <row r="3031" spans="1:12" ht="43.5" x14ac:dyDescent="0.35">
      <c r="A3031" s="5" t="s">
        <v>8</v>
      </c>
      <c r="B3031" s="5" t="s">
        <v>16</v>
      </c>
      <c r="C3031" s="5" t="s">
        <v>421</v>
      </c>
      <c r="D3031" s="5" t="s">
        <v>35</v>
      </c>
      <c r="E3031" s="5" t="s">
        <v>39</v>
      </c>
      <c r="F3031" s="5" t="s">
        <v>162</v>
      </c>
      <c r="G3031" s="5" t="s">
        <v>257</v>
      </c>
      <c r="H3031" s="5" t="s">
        <v>422</v>
      </c>
      <c r="I3031" s="5" t="s">
        <v>63</v>
      </c>
      <c r="J3031" s="5">
        <v>16.42582045816</v>
      </c>
      <c r="K3031" s="5">
        <v>-95.014868218651998</v>
      </c>
      <c r="L3031" s="5" t="str">
        <f>HYPERLINK("https://maps.google.com/?q=16.42582045816,-95.014868218651799", "🔗 Ver Mapa")</f>
        <v>🔗 Ver Mapa</v>
      </c>
    </row>
    <row r="3032" spans="1:12" ht="43.5" x14ac:dyDescent="0.35">
      <c r="A3032" s="6" t="s">
        <v>8</v>
      </c>
      <c r="B3032" s="6" t="s">
        <v>16</v>
      </c>
      <c r="C3032" s="6" t="s">
        <v>421</v>
      </c>
      <c r="D3032" s="6" t="s">
        <v>35</v>
      </c>
      <c r="E3032" s="6" t="s">
        <v>39</v>
      </c>
      <c r="F3032" s="6" t="s">
        <v>162</v>
      </c>
      <c r="G3032" s="6" t="s">
        <v>257</v>
      </c>
      <c r="H3032" s="6" t="s">
        <v>422</v>
      </c>
      <c r="I3032" s="6" t="s">
        <v>63</v>
      </c>
      <c r="J3032" s="6">
        <v>16.425888953238001</v>
      </c>
      <c r="K3032" s="6">
        <v>-95.014456004734996</v>
      </c>
      <c r="L3032" s="6" t="str">
        <f>HYPERLINK("https://maps.google.com/?q=16.4258889532375,-95.014456004734896", "🔗 Ver Mapa")</f>
        <v>🔗 Ver Mapa</v>
      </c>
    </row>
    <row r="3033" spans="1:12" ht="43.5" x14ac:dyDescent="0.35">
      <c r="A3033" s="5" t="s">
        <v>8</v>
      </c>
      <c r="B3033" s="5" t="s">
        <v>16</v>
      </c>
      <c r="C3033" s="5" t="s">
        <v>421</v>
      </c>
      <c r="D3033" s="5" t="s">
        <v>35</v>
      </c>
      <c r="E3033" s="5" t="s">
        <v>39</v>
      </c>
      <c r="F3033" s="5" t="s">
        <v>162</v>
      </c>
      <c r="G3033" s="5" t="s">
        <v>257</v>
      </c>
      <c r="H3033" s="5" t="s">
        <v>422</v>
      </c>
      <c r="I3033" s="5" t="s">
        <v>63</v>
      </c>
      <c r="J3033" s="5">
        <v>16.426014353879999</v>
      </c>
      <c r="K3033" s="5">
        <v>-95.029703339283998</v>
      </c>
      <c r="L3033" s="5" t="str">
        <f>HYPERLINK("https://maps.google.com/?q=16.4260143538803,-95.029703339283898", "🔗 Ver Mapa")</f>
        <v>🔗 Ver Mapa</v>
      </c>
    </row>
    <row r="3034" spans="1:12" ht="43.5" x14ac:dyDescent="0.35">
      <c r="A3034" s="6" t="s">
        <v>8</v>
      </c>
      <c r="B3034" s="6" t="s">
        <v>16</v>
      </c>
      <c r="C3034" s="6" t="s">
        <v>421</v>
      </c>
      <c r="D3034" s="6" t="s">
        <v>35</v>
      </c>
      <c r="E3034" s="6" t="s">
        <v>39</v>
      </c>
      <c r="F3034" s="6" t="s">
        <v>162</v>
      </c>
      <c r="G3034" s="6" t="s">
        <v>257</v>
      </c>
      <c r="H3034" s="6" t="s">
        <v>422</v>
      </c>
      <c r="I3034" s="6" t="s">
        <v>63</v>
      </c>
      <c r="J3034" s="6">
        <v>16.426063580329998</v>
      </c>
      <c r="K3034" s="6">
        <v>-95.029905854171005</v>
      </c>
      <c r="L3034" s="6" t="str">
        <f>HYPERLINK("https://maps.google.com/?q=16.42606358033,-95.029905854170906", "🔗 Ver Mapa")</f>
        <v>🔗 Ver Mapa</v>
      </c>
    </row>
    <row r="3035" spans="1:12" ht="43.5" x14ac:dyDescent="0.35">
      <c r="A3035" s="5" t="s">
        <v>8</v>
      </c>
      <c r="B3035" s="5" t="s">
        <v>16</v>
      </c>
      <c r="C3035" s="5" t="s">
        <v>421</v>
      </c>
      <c r="D3035" s="5" t="s">
        <v>35</v>
      </c>
      <c r="E3035" s="5" t="s">
        <v>39</v>
      </c>
      <c r="F3035" s="5" t="s">
        <v>162</v>
      </c>
      <c r="G3035" s="5" t="s">
        <v>257</v>
      </c>
      <c r="H3035" s="5" t="s">
        <v>422</v>
      </c>
      <c r="I3035" s="5" t="s">
        <v>63</v>
      </c>
      <c r="J3035" s="5">
        <v>16.426124681628</v>
      </c>
      <c r="K3035" s="5">
        <v>-95.028902206501002</v>
      </c>
      <c r="L3035" s="5" t="str">
        <f>HYPERLINK("https://maps.google.com/?q=16.4261246816282,-95.028902206500803", "🔗 Ver Mapa")</f>
        <v>🔗 Ver Mapa</v>
      </c>
    </row>
    <row r="3036" spans="1:12" ht="43.5" x14ac:dyDescent="0.35">
      <c r="A3036" s="6" t="s">
        <v>8</v>
      </c>
      <c r="B3036" s="6" t="s">
        <v>16</v>
      </c>
      <c r="C3036" s="6" t="s">
        <v>421</v>
      </c>
      <c r="D3036" s="6" t="s">
        <v>35</v>
      </c>
      <c r="E3036" s="6" t="s">
        <v>39</v>
      </c>
      <c r="F3036" s="6" t="s">
        <v>162</v>
      </c>
      <c r="G3036" s="6" t="s">
        <v>257</v>
      </c>
      <c r="H3036" s="6" t="s">
        <v>422</v>
      </c>
      <c r="I3036" s="6" t="s">
        <v>63</v>
      </c>
      <c r="J3036" s="6">
        <v>16.426213962304001</v>
      </c>
      <c r="K3036" s="6">
        <v>-95.018595261176003</v>
      </c>
      <c r="L3036" s="6" t="str">
        <f>HYPERLINK("https://maps.google.com/?q=16.4262139623037,-95.018595261175804", "🔗 Ver Mapa")</f>
        <v>🔗 Ver Mapa</v>
      </c>
    </row>
    <row r="3037" spans="1:12" ht="43.5" x14ac:dyDescent="0.35">
      <c r="A3037" s="5" t="s">
        <v>8</v>
      </c>
      <c r="B3037" s="5" t="s">
        <v>16</v>
      </c>
      <c r="C3037" s="5" t="s">
        <v>421</v>
      </c>
      <c r="D3037" s="5" t="s">
        <v>35</v>
      </c>
      <c r="E3037" s="5" t="s">
        <v>39</v>
      </c>
      <c r="F3037" s="5" t="s">
        <v>162</v>
      </c>
      <c r="G3037" s="5" t="s">
        <v>257</v>
      </c>
      <c r="H3037" s="5" t="s">
        <v>422</v>
      </c>
      <c r="I3037" s="5" t="s">
        <v>63</v>
      </c>
      <c r="J3037" s="5">
        <v>16.426222445533998</v>
      </c>
      <c r="K3037" s="5">
        <v>-95.028543293414003</v>
      </c>
      <c r="L3037" s="5" t="str">
        <f>HYPERLINK("https://maps.google.com/?q=16.4262224455345,-95.028543293413605", "🔗 Ver Mapa")</f>
        <v>🔗 Ver Mapa</v>
      </c>
    </row>
    <row r="3038" spans="1:12" ht="43.5" x14ac:dyDescent="0.35">
      <c r="A3038" s="6" t="s">
        <v>8</v>
      </c>
      <c r="B3038" s="6" t="s">
        <v>16</v>
      </c>
      <c r="C3038" s="6" t="s">
        <v>421</v>
      </c>
      <c r="D3038" s="6" t="s">
        <v>35</v>
      </c>
      <c r="E3038" s="6" t="s">
        <v>39</v>
      </c>
      <c r="F3038" s="6" t="s">
        <v>162</v>
      </c>
      <c r="G3038" s="6" t="s">
        <v>257</v>
      </c>
      <c r="H3038" s="6" t="s">
        <v>422</v>
      </c>
      <c r="I3038" s="6" t="s">
        <v>63</v>
      </c>
      <c r="J3038" s="6">
        <v>16.426292209223</v>
      </c>
      <c r="K3038" s="6">
        <v>-95.029695963204006</v>
      </c>
      <c r="L3038" s="6" t="str">
        <f>HYPERLINK("https://maps.google.com/?q=16.4262922092227,-95.029695963203807", "🔗 Ver Mapa")</f>
        <v>🔗 Ver Mapa</v>
      </c>
    </row>
    <row r="3039" spans="1:12" ht="43.5" x14ac:dyDescent="0.35">
      <c r="A3039" s="5" t="s">
        <v>8</v>
      </c>
      <c r="B3039" s="5" t="s">
        <v>16</v>
      </c>
      <c r="C3039" s="5" t="s">
        <v>421</v>
      </c>
      <c r="D3039" s="5" t="s">
        <v>35</v>
      </c>
      <c r="E3039" s="5" t="s">
        <v>39</v>
      </c>
      <c r="F3039" s="5" t="s">
        <v>162</v>
      </c>
      <c r="G3039" s="5" t="s">
        <v>257</v>
      </c>
      <c r="H3039" s="5" t="s">
        <v>422</v>
      </c>
      <c r="I3039" s="5" t="s">
        <v>63</v>
      </c>
      <c r="J3039" s="5">
        <v>16.426345307142999</v>
      </c>
      <c r="K3039" s="5">
        <v>-95.021726267782</v>
      </c>
      <c r="L3039" s="5" t="str">
        <f>HYPERLINK("https://maps.google.com/?q=16.4263453071431,-95.021726267781503", "🔗 Ver Mapa")</f>
        <v>🔗 Ver Mapa</v>
      </c>
    </row>
    <row r="3040" spans="1:12" ht="43.5" x14ac:dyDescent="0.35">
      <c r="A3040" s="6" t="s">
        <v>8</v>
      </c>
      <c r="B3040" s="6" t="s">
        <v>16</v>
      </c>
      <c r="C3040" s="6" t="s">
        <v>421</v>
      </c>
      <c r="D3040" s="6" t="s">
        <v>35</v>
      </c>
      <c r="E3040" s="6" t="s">
        <v>39</v>
      </c>
      <c r="F3040" s="6" t="s">
        <v>162</v>
      </c>
      <c r="G3040" s="6" t="s">
        <v>257</v>
      </c>
      <c r="H3040" s="6" t="s">
        <v>422</v>
      </c>
      <c r="I3040" s="6" t="s">
        <v>63</v>
      </c>
      <c r="J3040" s="6">
        <v>16.426357712973999</v>
      </c>
      <c r="K3040" s="6">
        <v>-95.029854349700997</v>
      </c>
      <c r="L3040" s="6" t="str">
        <f>HYPERLINK("https://maps.google.com/?q=16.4263577129737,-95.029854349700997", "🔗 Ver Mapa")</f>
        <v>🔗 Ver Mapa</v>
      </c>
    </row>
    <row r="3041" spans="1:12" ht="43.5" x14ac:dyDescent="0.35">
      <c r="A3041" s="5" t="s">
        <v>8</v>
      </c>
      <c r="B3041" s="5" t="s">
        <v>16</v>
      </c>
      <c r="C3041" s="5" t="s">
        <v>421</v>
      </c>
      <c r="D3041" s="5" t="s">
        <v>35</v>
      </c>
      <c r="E3041" s="5" t="s">
        <v>39</v>
      </c>
      <c r="F3041" s="5" t="s">
        <v>162</v>
      </c>
      <c r="G3041" s="5" t="s">
        <v>257</v>
      </c>
      <c r="H3041" s="5" t="s">
        <v>422</v>
      </c>
      <c r="I3041" s="5" t="s">
        <v>63</v>
      </c>
      <c r="J3041" s="5">
        <v>16.426417974370001</v>
      </c>
      <c r="K3041" s="5">
        <v>-95.029875008773999</v>
      </c>
      <c r="L3041" s="5" t="str">
        <f>HYPERLINK("https://maps.google.com/?q=16.4264179743702,-95.029875008774496", "🔗 Ver Mapa")</f>
        <v>🔗 Ver Mapa</v>
      </c>
    </row>
    <row r="3042" spans="1:12" ht="43.5" x14ac:dyDescent="0.35">
      <c r="A3042" s="6" t="s">
        <v>8</v>
      </c>
      <c r="B3042" s="6" t="s">
        <v>16</v>
      </c>
      <c r="C3042" s="6" t="s">
        <v>421</v>
      </c>
      <c r="D3042" s="6" t="s">
        <v>35</v>
      </c>
      <c r="E3042" s="6" t="s">
        <v>39</v>
      </c>
      <c r="F3042" s="6" t="s">
        <v>162</v>
      </c>
      <c r="G3042" s="6" t="s">
        <v>257</v>
      </c>
      <c r="H3042" s="6" t="s">
        <v>422</v>
      </c>
      <c r="I3042" s="6" t="s">
        <v>63</v>
      </c>
      <c r="J3042" s="6">
        <v>16.426509504098</v>
      </c>
      <c r="K3042" s="6">
        <v>-95.029660560110003</v>
      </c>
      <c r="L3042" s="6" t="str">
        <f>HYPERLINK("https://maps.google.com/?q=16.4265095040979,-95.029660560110301", "🔗 Ver Mapa")</f>
        <v>🔗 Ver Mapa</v>
      </c>
    </row>
    <row r="3043" spans="1:12" ht="43.5" x14ac:dyDescent="0.35">
      <c r="A3043" s="5" t="s">
        <v>8</v>
      </c>
      <c r="B3043" s="5" t="s">
        <v>16</v>
      </c>
      <c r="C3043" s="5" t="s">
        <v>421</v>
      </c>
      <c r="D3043" s="5" t="s">
        <v>35</v>
      </c>
      <c r="E3043" s="5" t="s">
        <v>39</v>
      </c>
      <c r="F3043" s="5" t="s">
        <v>162</v>
      </c>
      <c r="G3043" s="5" t="s">
        <v>257</v>
      </c>
      <c r="H3043" s="5" t="s">
        <v>422</v>
      </c>
      <c r="I3043" s="5" t="s">
        <v>63</v>
      </c>
      <c r="J3043" s="5">
        <v>16.426558188181001</v>
      </c>
      <c r="K3043" s="5">
        <v>-95.025117200188006</v>
      </c>
      <c r="L3043" s="5" t="str">
        <f>HYPERLINK("https://maps.google.com/?q=16.4265581881812,-95.025117200188106", "🔗 Ver Mapa")</f>
        <v>🔗 Ver Mapa</v>
      </c>
    </row>
    <row r="3044" spans="1:12" ht="43.5" x14ac:dyDescent="0.35">
      <c r="A3044" s="6" t="s">
        <v>8</v>
      </c>
      <c r="B3044" s="6" t="s">
        <v>16</v>
      </c>
      <c r="C3044" s="6" t="s">
        <v>421</v>
      </c>
      <c r="D3044" s="6" t="s">
        <v>35</v>
      </c>
      <c r="E3044" s="6" t="s">
        <v>39</v>
      </c>
      <c r="F3044" s="6" t="s">
        <v>162</v>
      </c>
      <c r="G3044" s="6" t="s">
        <v>257</v>
      </c>
      <c r="H3044" s="6" t="s">
        <v>422</v>
      </c>
      <c r="I3044" s="6" t="s">
        <v>63</v>
      </c>
      <c r="J3044" s="6">
        <v>16.426625869923999</v>
      </c>
      <c r="K3044" s="6">
        <v>-95.026409917481999</v>
      </c>
      <c r="L3044" s="6" t="str">
        <f>HYPERLINK("https://maps.google.com/?q=16.426625869924,-95.026409917481502", "🔗 Ver Mapa")</f>
        <v>🔗 Ver Mapa</v>
      </c>
    </row>
    <row r="3045" spans="1:12" ht="43.5" x14ac:dyDescent="0.35">
      <c r="A3045" s="5" t="s">
        <v>8</v>
      </c>
      <c r="B3045" s="5" t="s">
        <v>16</v>
      </c>
      <c r="C3045" s="5" t="s">
        <v>421</v>
      </c>
      <c r="D3045" s="5" t="s">
        <v>35</v>
      </c>
      <c r="E3045" s="5" t="s">
        <v>39</v>
      </c>
      <c r="F3045" s="5" t="s">
        <v>162</v>
      </c>
      <c r="G3045" s="5" t="s">
        <v>257</v>
      </c>
      <c r="H3045" s="5" t="s">
        <v>422</v>
      </c>
      <c r="I3045" s="5" t="s">
        <v>63</v>
      </c>
      <c r="J3045" s="5">
        <v>16.426755897900001</v>
      </c>
      <c r="K3045" s="5">
        <v>-95.025283386932003</v>
      </c>
      <c r="L3045" s="5" t="str">
        <f>HYPERLINK("https://maps.google.com/?q=16.4267558978998,-95.025283386932401", "🔗 Ver Mapa")</f>
        <v>🔗 Ver Mapa</v>
      </c>
    </row>
    <row r="3046" spans="1:12" ht="43.5" x14ac:dyDescent="0.35">
      <c r="A3046" s="6" t="s">
        <v>8</v>
      </c>
      <c r="B3046" s="6" t="s">
        <v>16</v>
      </c>
      <c r="C3046" s="6" t="s">
        <v>421</v>
      </c>
      <c r="D3046" s="6" t="s">
        <v>35</v>
      </c>
      <c r="E3046" s="6" t="s">
        <v>39</v>
      </c>
      <c r="F3046" s="6" t="s">
        <v>162</v>
      </c>
      <c r="G3046" s="6" t="s">
        <v>257</v>
      </c>
      <c r="H3046" s="6" t="s">
        <v>422</v>
      </c>
      <c r="I3046" s="6" t="s">
        <v>63</v>
      </c>
      <c r="J3046" s="6">
        <v>16.426939496829998</v>
      </c>
      <c r="K3046" s="6">
        <v>-95.016575595071998</v>
      </c>
      <c r="L3046" s="6" t="str">
        <f>HYPERLINK("https://maps.google.com/?q=16.4269394968299,-95.016575595071899", "🔗 Ver Mapa")</f>
        <v>🔗 Ver Mapa</v>
      </c>
    </row>
    <row r="3047" spans="1:12" ht="43.5" x14ac:dyDescent="0.35">
      <c r="A3047" s="5" t="s">
        <v>8</v>
      </c>
      <c r="B3047" s="5" t="s">
        <v>16</v>
      </c>
      <c r="C3047" s="5" t="s">
        <v>421</v>
      </c>
      <c r="D3047" s="5" t="s">
        <v>35</v>
      </c>
      <c r="E3047" s="5" t="s">
        <v>39</v>
      </c>
      <c r="F3047" s="5" t="s">
        <v>162</v>
      </c>
      <c r="G3047" s="5" t="s">
        <v>257</v>
      </c>
      <c r="H3047" s="5" t="s">
        <v>422</v>
      </c>
      <c r="I3047" s="5" t="s">
        <v>63</v>
      </c>
      <c r="J3047" s="5">
        <v>16.427059361228</v>
      </c>
      <c r="K3047" s="5">
        <v>-95.018998957090005</v>
      </c>
      <c r="L3047" s="5" t="str">
        <f>HYPERLINK("https://maps.google.com/?q=16.4270593612284,-95.018998957089806", "🔗 Ver Mapa")</f>
        <v>🔗 Ver Mapa</v>
      </c>
    </row>
    <row r="3048" spans="1:12" ht="43.5" x14ac:dyDescent="0.35">
      <c r="A3048" s="6" t="s">
        <v>8</v>
      </c>
      <c r="B3048" s="6" t="s">
        <v>16</v>
      </c>
      <c r="C3048" s="6" t="s">
        <v>421</v>
      </c>
      <c r="D3048" s="6" t="s">
        <v>35</v>
      </c>
      <c r="E3048" s="6" t="s">
        <v>39</v>
      </c>
      <c r="F3048" s="6" t="s">
        <v>162</v>
      </c>
      <c r="G3048" s="6" t="s">
        <v>257</v>
      </c>
      <c r="H3048" s="6" t="s">
        <v>422</v>
      </c>
      <c r="I3048" s="6" t="s">
        <v>63</v>
      </c>
      <c r="J3048" s="6">
        <v>16.427226033524999</v>
      </c>
      <c r="K3048" s="6">
        <v>-95.013633213925999</v>
      </c>
      <c r="L3048" s="6" t="str">
        <f>HYPERLINK("https://maps.google.com/?q=16.427226033525,-95.013633213926099", "🔗 Ver Mapa")</f>
        <v>🔗 Ver Mapa</v>
      </c>
    </row>
    <row r="3049" spans="1:12" ht="43.5" x14ac:dyDescent="0.35">
      <c r="A3049" s="5" t="s">
        <v>8</v>
      </c>
      <c r="B3049" s="5" t="s">
        <v>16</v>
      </c>
      <c r="C3049" s="5" t="s">
        <v>421</v>
      </c>
      <c r="D3049" s="5" t="s">
        <v>35</v>
      </c>
      <c r="E3049" s="5" t="s">
        <v>39</v>
      </c>
      <c r="F3049" s="5" t="s">
        <v>162</v>
      </c>
      <c r="G3049" s="5" t="s">
        <v>257</v>
      </c>
      <c r="H3049" s="5" t="s">
        <v>422</v>
      </c>
      <c r="I3049" s="5" t="s">
        <v>63</v>
      </c>
      <c r="J3049" s="5">
        <v>16.427261864232001</v>
      </c>
      <c r="K3049" s="5">
        <v>-95.020619992248996</v>
      </c>
      <c r="L3049" s="5" t="str">
        <f>HYPERLINK("https://maps.google.com/?q=16.4272618642318,-95.020619992248896", "🔗 Ver Mapa")</f>
        <v>🔗 Ver Mapa</v>
      </c>
    </row>
    <row r="3050" spans="1:12" ht="43.5" x14ac:dyDescent="0.35">
      <c r="A3050" s="6" t="s">
        <v>8</v>
      </c>
      <c r="B3050" s="6" t="s">
        <v>16</v>
      </c>
      <c r="C3050" s="6" t="s">
        <v>421</v>
      </c>
      <c r="D3050" s="6" t="s">
        <v>35</v>
      </c>
      <c r="E3050" s="6" t="s">
        <v>39</v>
      </c>
      <c r="F3050" s="6" t="s">
        <v>162</v>
      </c>
      <c r="G3050" s="6" t="s">
        <v>257</v>
      </c>
      <c r="H3050" s="6" t="s">
        <v>422</v>
      </c>
      <c r="I3050" s="6" t="s">
        <v>63</v>
      </c>
      <c r="J3050" s="6">
        <v>16.42753921197</v>
      </c>
      <c r="K3050" s="6">
        <v>-95.021808745697996</v>
      </c>
      <c r="L3050" s="6" t="str">
        <f>HYPERLINK("https://maps.google.com/?q=16.4275392119698,-95.021808745698195", "🔗 Ver Mapa")</f>
        <v>🔗 Ver Mapa</v>
      </c>
    </row>
    <row r="3051" spans="1:12" ht="43.5" x14ac:dyDescent="0.35">
      <c r="A3051" s="5" t="s">
        <v>8</v>
      </c>
      <c r="B3051" s="5" t="s">
        <v>16</v>
      </c>
      <c r="C3051" s="5" t="s">
        <v>421</v>
      </c>
      <c r="D3051" s="5" t="s">
        <v>35</v>
      </c>
      <c r="E3051" s="5" t="s">
        <v>39</v>
      </c>
      <c r="F3051" s="5" t="s">
        <v>162</v>
      </c>
      <c r="G3051" s="5" t="s">
        <v>257</v>
      </c>
      <c r="H3051" s="5" t="s">
        <v>422</v>
      </c>
      <c r="I3051" s="5" t="s">
        <v>63</v>
      </c>
      <c r="J3051" s="5">
        <v>16.427640440895999</v>
      </c>
      <c r="K3051" s="5">
        <v>-95.020522406951002</v>
      </c>
      <c r="L3051" s="5" t="str">
        <f>HYPERLINK("https://maps.google.com/?q=16.4276404408964,-95.0205224069515", "🔗 Ver Mapa")</f>
        <v>🔗 Ver Mapa</v>
      </c>
    </row>
    <row r="3052" spans="1:12" ht="43.5" x14ac:dyDescent="0.35">
      <c r="A3052" s="6" t="s">
        <v>8</v>
      </c>
      <c r="B3052" s="6" t="s">
        <v>16</v>
      </c>
      <c r="C3052" s="6" t="s">
        <v>421</v>
      </c>
      <c r="D3052" s="6" t="s">
        <v>35</v>
      </c>
      <c r="E3052" s="6" t="s">
        <v>39</v>
      </c>
      <c r="F3052" s="6" t="s">
        <v>162</v>
      </c>
      <c r="G3052" s="6" t="s">
        <v>257</v>
      </c>
      <c r="H3052" s="6" t="s">
        <v>422</v>
      </c>
      <c r="I3052" s="6" t="s">
        <v>63</v>
      </c>
      <c r="J3052" s="6">
        <v>16.427894793698002</v>
      </c>
      <c r="K3052" s="6">
        <v>-95.008154684516995</v>
      </c>
      <c r="L3052" s="6" t="str">
        <f>HYPERLINK("https://maps.google.com/?q=16.4278947936979,-95.008154684517194", "🔗 Ver Mapa")</f>
        <v>🔗 Ver Mapa</v>
      </c>
    </row>
    <row r="3053" spans="1:12" ht="43.5" x14ac:dyDescent="0.35">
      <c r="A3053" s="5" t="s">
        <v>8</v>
      </c>
      <c r="B3053" s="5" t="s">
        <v>16</v>
      </c>
      <c r="C3053" s="5" t="s">
        <v>421</v>
      </c>
      <c r="D3053" s="5" t="s">
        <v>35</v>
      </c>
      <c r="E3053" s="5" t="s">
        <v>39</v>
      </c>
      <c r="F3053" s="5" t="s">
        <v>162</v>
      </c>
      <c r="G3053" s="5" t="s">
        <v>257</v>
      </c>
      <c r="H3053" s="5" t="s">
        <v>422</v>
      </c>
      <c r="I3053" s="5" t="s">
        <v>63</v>
      </c>
      <c r="J3053" s="5">
        <v>16.427933578244001</v>
      </c>
      <c r="K3053" s="5">
        <v>-95.008556810786004</v>
      </c>
      <c r="L3053" s="5" t="str">
        <f>HYPERLINK("https://maps.google.com/?q=16.4279335782439,-95.008556810785507", "🔗 Ver Mapa")</f>
        <v>🔗 Ver Mapa</v>
      </c>
    </row>
    <row r="3054" spans="1:12" ht="43.5" x14ac:dyDescent="0.35">
      <c r="A3054" s="6" t="s">
        <v>8</v>
      </c>
      <c r="B3054" s="6" t="s">
        <v>16</v>
      </c>
      <c r="C3054" s="6" t="s">
        <v>421</v>
      </c>
      <c r="D3054" s="6" t="s">
        <v>35</v>
      </c>
      <c r="E3054" s="6" t="s">
        <v>39</v>
      </c>
      <c r="F3054" s="6" t="s">
        <v>162</v>
      </c>
      <c r="G3054" s="6" t="s">
        <v>257</v>
      </c>
      <c r="H3054" s="6" t="s">
        <v>422</v>
      </c>
      <c r="I3054" s="6" t="s">
        <v>63</v>
      </c>
      <c r="J3054" s="6">
        <v>16.427988162211001</v>
      </c>
      <c r="K3054" s="6">
        <v>-95.009448904050004</v>
      </c>
      <c r="L3054" s="6" t="str">
        <f>HYPERLINK("https://maps.google.com/?q=16.4279881622112,-95.009448904049904", "🔗 Ver Mapa")</f>
        <v>🔗 Ver Mapa</v>
      </c>
    </row>
    <row r="3055" spans="1:12" ht="43.5" x14ac:dyDescent="0.35">
      <c r="A3055" s="5" t="s">
        <v>8</v>
      </c>
      <c r="B3055" s="5" t="s">
        <v>16</v>
      </c>
      <c r="C3055" s="5" t="s">
        <v>421</v>
      </c>
      <c r="D3055" s="5" t="s">
        <v>35</v>
      </c>
      <c r="E3055" s="5" t="s">
        <v>39</v>
      </c>
      <c r="F3055" s="5" t="s">
        <v>162</v>
      </c>
      <c r="G3055" s="5" t="s">
        <v>257</v>
      </c>
      <c r="H3055" s="5" t="s">
        <v>422</v>
      </c>
      <c r="I3055" s="5" t="s">
        <v>63</v>
      </c>
      <c r="J3055" s="5">
        <v>16.428013369588001</v>
      </c>
      <c r="K3055" s="5">
        <v>-95.013901656452006</v>
      </c>
      <c r="L3055" s="5" t="str">
        <f>HYPERLINK("https://maps.google.com/?q=16.4280133695883,-95.013901656452205", "🔗 Ver Mapa")</f>
        <v>🔗 Ver Mapa</v>
      </c>
    </row>
    <row r="3056" spans="1:12" ht="43.5" x14ac:dyDescent="0.35">
      <c r="A3056" s="6" t="s">
        <v>8</v>
      </c>
      <c r="B3056" s="6" t="s">
        <v>16</v>
      </c>
      <c r="C3056" s="6" t="s">
        <v>421</v>
      </c>
      <c r="D3056" s="6" t="s">
        <v>35</v>
      </c>
      <c r="E3056" s="6" t="s">
        <v>39</v>
      </c>
      <c r="F3056" s="6" t="s">
        <v>162</v>
      </c>
      <c r="G3056" s="6" t="s">
        <v>257</v>
      </c>
      <c r="H3056" s="6" t="s">
        <v>422</v>
      </c>
      <c r="I3056" s="6" t="s">
        <v>63</v>
      </c>
      <c r="J3056" s="6">
        <v>16.428145632915999</v>
      </c>
      <c r="K3056" s="6">
        <v>-95.008559027526005</v>
      </c>
      <c r="L3056" s="6" t="str">
        <f>HYPERLINK("https://maps.google.com/?q=16.428145632916,-95.008559027526104", "🔗 Ver Mapa")</f>
        <v>🔗 Ver Mapa</v>
      </c>
    </row>
    <row r="3057" spans="1:12" ht="43.5" x14ac:dyDescent="0.35">
      <c r="A3057" s="5" t="s">
        <v>8</v>
      </c>
      <c r="B3057" s="5" t="s">
        <v>16</v>
      </c>
      <c r="C3057" s="5" t="s">
        <v>421</v>
      </c>
      <c r="D3057" s="5" t="s">
        <v>35</v>
      </c>
      <c r="E3057" s="5" t="s">
        <v>39</v>
      </c>
      <c r="F3057" s="5" t="s">
        <v>162</v>
      </c>
      <c r="G3057" s="5" t="s">
        <v>257</v>
      </c>
      <c r="H3057" s="5" t="s">
        <v>422</v>
      </c>
      <c r="I3057" s="5" t="s">
        <v>63</v>
      </c>
      <c r="J3057" s="5">
        <v>16.428184866713</v>
      </c>
      <c r="K3057" s="5">
        <v>-95.009020367475998</v>
      </c>
      <c r="L3057" s="5" t="str">
        <f>HYPERLINK("https://maps.google.com/?q=16.4281848667131,-95.009020367476495", "🔗 Ver Mapa")</f>
        <v>🔗 Ver Mapa</v>
      </c>
    </row>
    <row r="3058" spans="1:12" ht="43.5" x14ac:dyDescent="0.35">
      <c r="A3058" s="6" t="s">
        <v>8</v>
      </c>
      <c r="B3058" s="6" t="s">
        <v>16</v>
      </c>
      <c r="C3058" s="6" t="s">
        <v>421</v>
      </c>
      <c r="D3058" s="6" t="s">
        <v>35</v>
      </c>
      <c r="E3058" s="6" t="s">
        <v>39</v>
      </c>
      <c r="F3058" s="6" t="s">
        <v>162</v>
      </c>
      <c r="G3058" s="6" t="s">
        <v>257</v>
      </c>
      <c r="H3058" s="6" t="s">
        <v>422</v>
      </c>
      <c r="I3058" s="6" t="s">
        <v>63</v>
      </c>
      <c r="J3058" s="6">
        <v>16.428192520018001</v>
      </c>
      <c r="K3058" s="6">
        <v>-95.021561311924003</v>
      </c>
      <c r="L3058" s="6" t="str">
        <f>HYPERLINK("https://maps.google.com/?q=16.4281925200178,-95.021561311924401", "🔗 Ver Mapa")</f>
        <v>🔗 Ver Mapa</v>
      </c>
    </row>
    <row r="3059" spans="1:12" ht="43.5" x14ac:dyDescent="0.35">
      <c r="A3059" s="5" t="s">
        <v>8</v>
      </c>
      <c r="B3059" s="5" t="s">
        <v>16</v>
      </c>
      <c r="C3059" s="5" t="s">
        <v>421</v>
      </c>
      <c r="D3059" s="5" t="s">
        <v>35</v>
      </c>
      <c r="E3059" s="5" t="s">
        <v>39</v>
      </c>
      <c r="F3059" s="5" t="s">
        <v>162</v>
      </c>
      <c r="G3059" s="5" t="s">
        <v>257</v>
      </c>
      <c r="H3059" s="5" t="s">
        <v>422</v>
      </c>
      <c r="I3059" s="5" t="s">
        <v>63</v>
      </c>
      <c r="J3059" s="5">
        <v>16.428377184455002</v>
      </c>
      <c r="K3059" s="5">
        <v>-95.009276597758003</v>
      </c>
      <c r="L3059" s="5" t="str">
        <f>HYPERLINK("https://maps.google.com/?q=16.4283771844547,-95.009276597757903", "🔗 Ver Mapa")</f>
        <v>🔗 Ver Mapa</v>
      </c>
    </row>
    <row r="3060" spans="1:12" ht="43.5" x14ac:dyDescent="0.35">
      <c r="A3060" s="6" t="s">
        <v>8</v>
      </c>
      <c r="B3060" s="6" t="s">
        <v>16</v>
      </c>
      <c r="C3060" s="6" t="s">
        <v>421</v>
      </c>
      <c r="D3060" s="6" t="s">
        <v>35</v>
      </c>
      <c r="E3060" s="6" t="s">
        <v>39</v>
      </c>
      <c r="F3060" s="6" t="s">
        <v>162</v>
      </c>
      <c r="G3060" s="6" t="s">
        <v>257</v>
      </c>
      <c r="H3060" s="6" t="s">
        <v>422</v>
      </c>
      <c r="I3060" s="6" t="s">
        <v>63</v>
      </c>
      <c r="J3060" s="6">
        <v>16.428378905774998</v>
      </c>
      <c r="K3060" s="6">
        <v>-95.018268702239993</v>
      </c>
      <c r="L3060" s="6" t="str">
        <f>HYPERLINK("https://maps.google.com/?q=16.4283789057751,-95.018268702239894", "🔗 Ver Mapa")</f>
        <v>🔗 Ver Mapa</v>
      </c>
    </row>
    <row r="3061" spans="1:12" ht="43.5" x14ac:dyDescent="0.35">
      <c r="A3061" s="5" t="s">
        <v>8</v>
      </c>
      <c r="B3061" s="5" t="s">
        <v>16</v>
      </c>
      <c r="C3061" s="5" t="s">
        <v>421</v>
      </c>
      <c r="D3061" s="5" t="s">
        <v>35</v>
      </c>
      <c r="E3061" s="5" t="s">
        <v>39</v>
      </c>
      <c r="F3061" s="5" t="s">
        <v>162</v>
      </c>
      <c r="G3061" s="5" t="s">
        <v>257</v>
      </c>
      <c r="H3061" s="5" t="s">
        <v>422</v>
      </c>
      <c r="I3061" s="5" t="s">
        <v>63</v>
      </c>
      <c r="J3061" s="5">
        <v>16.428543764741001</v>
      </c>
      <c r="K3061" s="5">
        <v>-95.014790485567005</v>
      </c>
      <c r="L3061" s="5" t="str">
        <f>HYPERLINK("https://maps.google.com/?q=16.4285437647408,-95.014790485567403", "🔗 Ver Mapa")</f>
        <v>🔗 Ver Mapa</v>
      </c>
    </row>
    <row r="3062" spans="1:12" ht="43.5" x14ac:dyDescent="0.35">
      <c r="A3062" s="6" t="s">
        <v>8</v>
      </c>
      <c r="B3062" s="6" t="s">
        <v>16</v>
      </c>
      <c r="C3062" s="6" t="s">
        <v>421</v>
      </c>
      <c r="D3062" s="6" t="s">
        <v>35</v>
      </c>
      <c r="E3062" s="6" t="s">
        <v>39</v>
      </c>
      <c r="F3062" s="6" t="s">
        <v>162</v>
      </c>
      <c r="G3062" s="6" t="s">
        <v>257</v>
      </c>
      <c r="H3062" s="6" t="s">
        <v>422</v>
      </c>
      <c r="I3062" s="6" t="s">
        <v>63</v>
      </c>
      <c r="J3062" s="6">
        <v>16.428628651587001</v>
      </c>
      <c r="K3062" s="6">
        <v>-95.012117680534999</v>
      </c>
      <c r="L3062" s="6" t="str">
        <f>HYPERLINK("https://maps.google.com/?q=16.4286286515866,-95.012117680535297", "🔗 Ver Mapa")</f>
        <v>🔗 Ver Mapa</v>
      </c>
    </row>
    <row r="3063" spans="1:12" ht="43.5" x14ac:dyDescent="0.35">
      <c r="A3063" s="5" t="s">
        <v>8</v>
      </c>
      <c r="B3063" s="5" t="s">
        <v>16</v>
      </c>
      <c r="C3063" s="5" t="s">
        <v>421</v>
      </c>
      <c r="D3063" s="5" t="s">
        <v>35</v>
      </c>
      <c r="E3063" s="5" t="s">
        <v>39</v>
      </c>
      <c r="F3063" s="5" t="s">
        <v>162</v>
      </c>
      <c r="G3063" s="5" t="s">
        <v>257</v>
      </c>
      <c r="H3063" s="5" t="s">
        <v>422</v>
      </c>
      <c r="I3063" s="5" t="s">
        <v>63</v>
      </c>
      <c r="J3063" s="5">
        <v>16.428698100651999</v>
      </c>
      <c r="K3063" s="5">
        <v>-95.030423351544997</v>
      </c>
      <c r="L3063" s="5" t="str">
        <f>HYPERLINK("https://maps.google.com/?q=16.428698100652,-95.030423351545394", "🔗 Ver Mapa")</f>
        <v>🔗 Ver Mapa</v>
      </c>
    </row>
    <row r="3064" spans="1:12" ht="43.5" x14ac:dyDescent="0.35">
      <c r="A3064" s="6" t="s">
        <v>8</v>
      </c>
      <c r="B3064" s="6" t="s">
        <v>16</v>
      </c>
      <c r="C3064" s="6" t="s">
        <v>421</v>
      </c>
      <c r="D3064" s="6" t="s">
        <v>35</v>
      </c>
      <c r="E3064" s="6" t="s">
        <v>39</v>
      </c>
      <c r="F3064" s="6" t="s">
        <v>162</v>
      </c>
      <c r="G3064" s="6" t="s">
        <v>257</v>
      </c>
      <c r="H3064" s="6" t="s">
        <v>422</v>
      </c>
      <c r="I3064" s="6" t="s">
        <v>63</v>
      </c>
      <c r="J3064" s="6">
        <v>16.429036942806999</v>
      </c>
      <c r="K3064" s="6">
        <v>-95.023895830127003</v>
      </c>
      <c r="L3064" s="6" t="str">
        <f>HYPERLINK("https://maps.google.com/?q=16.4290369428066,-95.023895830127202", "🔗 Ver Mapa")</f>
        <v>🔗 Ver Mapa</v>
      </c>
    </row>
    <row r="3065" spans="1:12" ht="43.5" x14ac:dyDescent="0.35">
      <c r="A3065" s="5" t="s">
        <v>8</v>
      </c>
      <c r="B3065" s="5" t="s">
        <v>16</v>
      </c>
      <c r="C3065" s="5" t="s">
        <v>421</v>
      </c>
      <c r="D3065" s="5" t="s">
        <v>35</v>
      </c>
      <c r="E3065" s="5" t="s">
        <v>39</v>
      </c>
      <c r="F3065" s="5" t="s">
        <v>162</v>
      </c>
      <c r="G3065" s="5" t="s">
        <v>257</v>
      </c>
      <c r="H3065" s="5" t="s">
        <v>422</v>
      </c>
      <c r="I3065" s="5" t="s">
        <v>63</v>
      </c>
      <c r="J3065" s="5">
        <v>16.429037053708001</v>
      </c>
      <c r="K3065" s="5">
        <v>-95.030619488059003</v>
      </c>
      <c r="L3065" s="5" t="str">
        <f>HYPERLINK("https://maps.google.com/?q=16.429037053708,-95.030619488058505", "🔗 Ver Mapa")</f>
        <v>🔗 Ver Mapa</v>
      </c>
    </row>
    <row r="3066" spans="1:12" ht="43.5" x14ac:dyDescent="0.35">
      <c r="A3066" s="6" t="s">
        <v>8</v>
      </c>
      <c r="B3066" s="6" t="s">
        <v>16</v>
      </c>
      <c r="C3066" s="6" t="s">
        <v>421</v>
      </c>
      <c r="D3066" s="6" t="s">
        <v>35</v>
      </c>
      <c r="E3066" s="6" t="s">
        <v>39</v>
      </c>
      <c r="F3066" s="6" t="s">
        <v>162</v>
      </c>
      <c r="G3066" s="6" t="s">
        <v>257</v>
      </c>
      <c r="H3066" s="6" t="s">
        <v>422</v>
      </c>
      <c r="I3066" s="6" t="s">
        <v>63</v>
      </c>
      <c r="J3066" s="6">
        <v>16.429139606075001</v>
      </c>
      <c r="K3066" s="6">
        <v>-95.029635446015007</v>
      </c>
      <c r="L3066" s="6" t="str">
        <f>HYPERLINK("https://maps.google.com/?q=16.4291396060749,-95.029635446015305", "🔗 Ver Mapa")</f>
        <v>🔗 Ver Mapa</v>
      </c>
    </row>
    <row r="3067" spans="1:12" ht="43.5" x14ac:dyDescent="0.35">
      <c r="A3067" s="5" t="s">
        <v>8</v>
      </c>
      <c r="B3067" s="5" t="s">
        <v>16</v>
      </c>
      <c r="C3067" s="5" t="s">
        <v>421</v>
      </c>
      <c r="D3067" s="5" t="s">
        <v>35</v>
      </c>
      <c r="E3067" s="5" t="s">
        <v>39</v>
      </c>
      <c r="F3067" s="5" t="s">
        <v>162</v>
      </c>
      <c r="G3067" s="5" t="s">
        <v>257</v>
      </c>
      <c r="H3067" s="5" t="s">
        <v>422</v>
      </c>
      <c r="I3067" s="5" t="s">
        <v>63</v>
      </c>
      <c r="J3067" s="5">
        <v>16.429206400769999</v>
      </c>
      <c r="K3067" s="5">
        <v>-95.027772431667998</v>
      </c>
      <c r="L3067" s="5" t="str">
        <f>HYPERLINK("https://maps.google.com/?q=16.42920640077,-95.027772431668296", "🔗 Ver Mapa")</f>
        <v>🔗 Ver Mapa</v>
      </c>
    </row>
    <row r="3068" spans="1:12" ht="43.5" x14ac:dyDescent="0.35">
      <c r="A3068" s="6" t="s">
        <v>8</v>
      </c>
      <c r="B3068" s="6" t="s">
        <v>16</v>
      </c>
      <c r="C3068" s="6" t="s">
        <v>421</v>
      </c>
      <c r="D3068" s="6" t="s">
        <v>35</v>
      </c>
      <c r="E3068" s="6" t="s">
        <v>39</v>
      </c>
      <c r="F3068" s="6" t="s">
        <v>162</v>
      </c>
      <c r="G3068" s="6" t="s">
        <v>257</v>
      </c>
      <c r="H3068" s="6" t="s">
        <v>422</v>
      </c>
      <c r="I3068" s="6" t="s">
        <v>63</v>
      </c>
      <c r="J3068" s="6">
        <v>16.429242961941998</v>
      </c>
      <c r="K3068" s="6">
        <v>-95.033578712519997</v>
      </c>
      <c r="L3068" s="6" t="str">
        <f>HYPERLINK("https://maps.google.com/?q=16.4292429619417,-95.033578712519798", "🔗 Ver Mapa")</f>
        <v>🔗 Ver Mapa</v>
      </c>
    </row>
    <row r="3069" spans="1:12" ht="43.5" x14ac:dyDescent="0.35">
      <c r="A3069" s="5" t="s">
        <v>8</v>
      </c>
      <c r="B3069" s="5" t="s">
        <v>16</v>
      </c>
      <c r="C3069" s="5" t="s">
        <v>421</v>
      </c>
      <c r="D3069" s="5" t="s">
        <v>35</v>
      </c>
      <c r="E3069" s="5" t="s">
        <v>39</v>
      </c>
      <c r="F3069" s="5" t="s">
        <v>162</v>
      </c>
      <c r="G3069" s="5" t="s">
        <v>257</v>
      </c>
      <c r="H3069" s="5" t="s">
        <v>422</v>
      </c>
      <c r="I3069" s="5" t="s">
        <v>63</v>
      </c>
      <c r="J3069" s="5">
        <v>16.429276179586999</v>
      </c>
      <c r="K3069" s="5">
        <v>-95.027672672861002</v>
      </c>
      <c r="L3069" s="5" t="str">
        <f>HYPERLINK("https://maps.google.com/?q=16.429276179587,-95.027672672860604", "🔗 Ver Mapa")</f>
        <v>🔗 Ver Mapa</v>
      </c>
    </row>
    <row r="3070" spans="1:12" ht="43.5" x14ac:dyDescent="0.35">
      <c r="A3070" s="6" t="s">
        <v>8</v>
      </c>
      <c r="B3070" s="6" t="s">
        <v>16</v>
      </c>
      <c r="C3070" s="6" t="s">
        <v>421</v>
      </c>
      <c r="D3070" s="6" t="s">
        <v>35</v>
      </c>
      <c r="E3070" s="6" t="s">
        <v>39</v>
      </c>
      <c r="F3070" s="6" t="s">
        <v>162</v>
      </c>
      <c r="G3070" s="6" t="s">
        <v>257</v>
      </c>
      <c r="H3070" s="6" t="s">
        <v>422</v>
      </c>
      <c r="I3070" s="6" t="s">
        <v>63</v>
      </c>
      <c r="J3070" s="6">
        <v>16.42952558</v>
      </c>
      <c r="K3070" s="6">
        <v>-95.030413249999995</v>
      </c>
      <c r="L3070" s="6" t="str">
        <f>HYPERLINK("https://maps.google.com/?q=16.42952558,-95.030413249999995", "🔗 Ver Mapa")</f>
        <v>🔗 Ver Mapa</v>
      </c>
    </row>
    <row r="3071" spans="1:12" ht="43.5" x14ac:dyDescent="0.35">
      <c r="A3071" s="5" t="s">
        <v>8</v>
      </c>
      <c r="B3071" s="5" t="s">
        <v>16</v>
      </c>
      <c r="C3071" s="5" t="s">
        <v>421</v>
      </c>
      <c r="D3071" s="5" t="s">
        <v>35</v>
      </c>
      <c r="E3071" s="5" t="s">
        <v>39</v>
      </c>
      <c r="F3071" s="5" t="s">
        <v>162</v>
      </c>
      <c r="G3071" s="5" t="s">
        <v>257</v>
      </c>
      <c r="H3071" s="5" t="s">
        <v>422</v>
      </c>
      <c r="I3071" s="5" t="s">
        <v>63</v>
      </c>
      <c r="J3071" s="5">
        <v>16.429637326575001</v>
      </c>
      <c r="K3071" s="5">
        <v>-95.027317461975997</v>
      </c>
      <c r="L3071" s="5" t="str">
        <f>HYPERLINK("https://maps.google.com/?q=16.4296373265748,-95.027317461976196", "🔗 Ver Mapa")</f>
        <v>🔗 Ver Mapa</v>
      </c>
    </row>
    <row r="3072" spans="1:12" ht="43.5" x14ac:dyDescent="0.35">
      <c r="A3072" s="6" t="s">
        <v>8</v>
      </c>
      <c r="B3072" s="6" t="s">
        <v>16</v>
      </c>
      <c r="C3072" s="6" t="s">
        <v>421</v>
      </c>
      <c r="D3072" s="6" t="s">
        <v>35</v>
      </c>
      <c r="E3072" s="6" t="s">
        <v>39</v>
      </c>
      <c r="F3072" s="6" t="s">
        <v>162</v>
      </c>
      <c r="G3072" s="6" t="s">
        <v>257</v>
      </c>
      <c r="H3072" s="6" t="s">
        <v>422</v>
      </c>
      <c r="I3072" s="6" t="s">
        <v>63</v>
      </c>
      <c r="J3072" s="6">
        <v>16.429718527953</v>
      </c>
      <c r="K3072" s="6">
        <v>-95.030379719886</v>
      </c>
      <c r="L3072" s="6" t="str">
        <f>HYPERLINK("https://maps.google.com/?q=16.4297185279531,-95.030379719885701", "🔗 Ver Mapa")</f>
        <v>🔗 Ver Mapa</v>
      </c>
    </row>
    <row r="3073" spans="1:12" ht="43.5" x14ac:dyDescent="0.35">
      <c r="A3073" s="5" t="s">
        <v>8</v>
      </c>
      <c r="B3073" s="5" t="s">
        <v>16</v>
      </c>
      <c r="C3073" s="5" t="s">
        <v>421</v>
      </c>
      <c r="D3073" s="5" t="s">
        <v>35</v>
      </c>
      <c r="E3073" s="5" t="s">
        <v>39</v>
      </c>
      <c r="F3073" s="5" t="s">
        <v>162</v>
      </c>
      <c r="G3073" s="5" t="s">
        <v>257</v>
      </c>
      <c r="H3073" s="5" t="s">
        <v>422</v>
      </c>
      <c r="I3073" s="5" t="s">
        <v>63</v>
      </c>
      <c r="J3073" s="5">
        <v>16.429873493818999</v>
      </c>
      <c r="K3073" s="5">
        <v>-95.030390472628</v>
      </c>
      <c r="L3073" s="5" t="str">
        <f>HYPERLINK("https://maps.google.com/?q=16.4298734938193,-95.030390472628", "🔗 Ver Mapa")</f>
        <v>🔗 Ver Mapa</v>
      </c>
    </row>
    <row r="3074" spans="1:12" ht="43.5" x14ac:dyDescent="0.35">
      <c r="A3074" s="6" t="s">
        <v>8</v>
      </c>
      <c r="B3074" s="6" t="s">
        <v>16</v>
      </c>
      <c r="C3074" s="6" t="s">
        <v>421</v>
      </c>
      <c r="D3074" s="6" t="s">
        <v>35</v>
      </c>
      <c r="E3074" s="6" t="s">
        <v>39</v>
      </c>
      <c r="F3074" s="6" t="s">
        <v>162</v>
      </c>
      <c r="G3074" s="6" t="s">
        <v>257</v>
      </c>
      <c r="H3074" s="6" t="s">
        <v>422</v>
      </c>
      <c r="I3074" s="6" t="s">
        <v>63</v>
      </c>
      <c r="J3074" s="6">
        <v>16.429892451907001</v>
      </c>
      <c r="K3074" s="6">
        <v>-95.036359727681997</v>
      </c>
      <c r="L3074" s="6" t="str">
        <f>HYPERLINK("https://maps.google.com/?q=16.4298924519066,-95.036359727682395", "🔗 Ver Mapa")</f>
        <v>🔗 Ver Mapa</v>
      </c>
    </row>
    <row r="3075" spans="1:12" ht="43.5" x14ac:dyDescent="0.35">
      <c r="A3075" s="5" t="s">
        <v>8</v>
      </c>
      <c r="B3075" s="5" t="s">
        <v>16</v>
      </c>
      <c r="C3075" s="5" t="s">
        <v>421</v>
      </c>
      <c r="D3075" s="5" t="s">
        <v>35</v>
      </c>
      <c r="E3075" s="5" t="s">
        <v>39</v>
      </c>
      <c r="F3075" s="5" t="s">
        <v>162</v>
      </c>
      <c r="G3075" s="5" t="s">
        <v>257</v>
      </c>
      <c r="H3075" s="5" t="s">
        <v>422</v>
      </c>
      <c r="I3075" s="5" t="s">
        <v>63</v>
      </c>
      <c r="J3075" s="5">
        <v>16.429959877129999</v>
      </c>
      <c r="K3075" s="5">
        <v>-95.027172957963998</v>
      </c>
      <c r="L3075" s="5" t="str">
        <f>HYPERLINK("https://maps.google.com/?q=16.4299598771297,-95.027172957964098", "🔗 Ver Mapa")</f>
        <v>🔗 Ver Mapa</v>
      </c>
    </row>
    <row r="3076" spans="1:12" ht="43.5" x14ac:dyDescent="0.35">
      <c r="A3076" s="6" t="s">
        <v>8</v>
      </c>
      <c r="B3076" s="6" t="s">
        <v>16</v>
      </c>
      <c r="C3076" s="6" t="s">
        <v>421</v>
      </c>
      <c r="D3076" s="6" t="s">
        <v>35</v>
      </c>
      <c r="E3076" s="6" t="s">
        <v>39</v>
      </c>
      <c r="F3076" s="6" t="s">
        <v>162</v>
      </c>
      <c r="G3076" s="6" t="s">
        <v>257</v>
      </c>
      <c r="H3076" s="6" t="s">
        <v>422</v>
      </c>
      <c r="I3076" s="6" t="s">
        <v>63</v>
      </c>
      <c r="J3076" s="6">
        <v>16.429994972077999</v>
      </c>
      <c r="K3076" s="6">
        <v>-95.030335951175999</v>
      </c>
      <c r="L3076" s="6" t="str">
        <f>HYPERLINK("https://maps.google.com/?q=16.4299949720784,-95.030335951176497", "🔗 Ver Mapa")</f>
        <v>🔗 Ver Mapa</v>
      </c>
    </row>
    <row r="3077" spans="1:12" ht="43.5" x14ac:dyDescent="0.35">
      <c r="A3077" s="5" t="s">
        <v>8</v>
      </c>
      <c r="B3077" s="5" t="s">
        <v>16</v>
      </c>
      <c r="C3077" s="5" t="s">
        <v>421</v>
      </c>
      <c r="D3077" s="5" t="s">
        <v>35</v>
      </c>
      <c r="E3077" s="5" t="s">
        <v>39</v>
      </c>
      <c r="F3077" s="5" t="s">
        <v>162</v>
      </c>
      <c r="G3077" s="5" t="s">
        <v>257</v>
      </c>
      <c r="H3077" s="5" t="s">
        <v>422</v>
      </c>
      <c r="I3077" s="5" t="s">
        <v>63</v>
      </c>
      <c r="J3077" s="5">
        <v>16.430086046364998</v>
      </c>
      <c r="K3077" s="5">
        <v>-95.036668181717005</v>
      </c>
      <c r="L3077" s="5" t="str">
        <f>HYPERLINK("https://maps.google.com/?q=16.4300860463655,-95.036668181716706", "🔗 Ver Mapa")</f>
        <v>🔗 Ver Mapa</v>
      </c>
    </row>
    <row r="3078" spans="1:12" ht="43.5" x14ac:dyDescent="0.35">
      <c r="A3078" s="6" t="s">
        <v>8</v>
      </c>
      <c r="B3078" s="6" t="s">
        <v>16</v>
      </c>
      <c r="C3078" s="6" t="s">
        <v>421</v>
      </c>
      <c r="D3078" s="6" t="s">
        <v>35</v>
      </c>
      <c r="E3078" s="6" t="s">
        <v>39</v>
      </c>
      <c r="F3078" s="6" t="s">
        <v>162</v>
      </c>
      <c r="G3078" s="6" t="s">
        <v>257</v>
      </c>
      <c r="H3078" s="6" t="s">
        <v>422</v>
      </c>
      <c r="I3078" s="6" t="s">
        <v>63</v>
      </c>
      <c r="J3078" s="6">
        <v>16.430343046823999</v>
      </c>
      <c r="K3078" s="6">
        <v>-95.030548028493001</v>
      </c>
      <c r="L3078" s="6" t="str">
        <f>HYPERLINK("https://maps.google.com/?q=16.4303430468243,-95.030548028493499", "🔗 Ver Mapa")</f>
        <v>🔗 Ver Mapa</v>
      </c>
    </row>
    <row r="3079" spans="1:12" ht="43.5" x14ac:dyDescent="0.35">
      <c r="A3079" s="5" t="s">
        <v>8</v>
      </c>
      <c r="B3079" s="5" t="s">
        <v>16</v>
      </c>
      <c r="C3079" s="5" t="s">
        <v>421</v>
      </c>
      <c r="D3079" s="5" t="s">
        <v>35</v>
      </c>
      <c r="E3079" s="5" t="s">
        <v>39</v>
      </c>
      <c r="F3079" s="5" t="s">
        <v>162</v>
      </c>
      <c r="G3079" s="5" t="s">
        <v>257</v>
      </c>
      <c r="H3079" s="5" t="s">
        <v>422</v>
      </c>
      <c r="I3079" s="5" t="s">
        <v>63</v>
      </c>
      <c r="J3079" s="5">
        <v>16.430344578048</v>
      </c>
      <c r="K3079" s="5">
        <v>-95.021387638885997</v>
      </c>
      <c r="L3079" s="5" t="str">
        <f>HYPERLINK("https://maps.google.com/?q=16.4303445780477,-95.021387638886097", "🔗 Ver Mapa")</f>
        <v>🔗 Ver Mapa</v>
      </c>
    </row>
    <row r="3080" spans="1:12" ht="43.5" x14ac:dyDescent="0.35">
      <c r="A3080" s="6" t="s">
        <v>8</v>
      </c>
      <c r="B3080" s="6" t="s">
        <v>16</v>
      </c>
      <c r="C3080" s="6" t="s">
        <v>421</v>
      </c>
      <c r="D3080" s="6" t="s">
        <v>35</v>
      </c>
      <c r="E3080" s="6" t="s">
        <v>39</v>
      </c>
      <c r="F3080" s="6" t="s">
        <v>162</v>
      </c>
      <c r="G3080" s="6" t="s">
        <v>257</v>
      </c>
      <c r="H3080" s="6" t="s">
        <v>422</v>
      </c>
      <c r="I3080" s="6" t="s">
        <v>63</v>
      </c>
      <c r="J3080" s="6">
        <v>16.430382831997001</v>
      </c>
      <c r="K3080" s="6">
        <v>-95.018952217033004</v>
      </c>
      <c r="L3080" s="6" t="str">
        <f>HYPERLINK("https://maps.google.com/?q=16.4303828319974,-95.018952217033203", "🔗 Ver Mapa")</f>
        <v>🔗 Ver Mapa</v>
      </c>
    </row>
    <row r="3081" spans="1:12" ht="43.5" x14ac:dyDescent="0.35">
      <c r="A3081" s="5" t="s">
        <v>8</v>
      </c>
      <c r="B3081" s="5" t="s">
        <v>16</v>
      </c>
      <c r="C3081" s="5" t="s">
        <v>421</v>
      </c>
      <c r="D3081" s="5" t="s">
        <v>35</v>
      </c>
      <c r="E3081" s="5" t="s">
        <v>39</v>
      </c>
      <c r="F3081" s="5" t="s">
        <v>162</v>
      </c>
      <c r="G3081" s="5" t="s">
        <v>257</v>
      </c>
      <c r="H3081" s="5" t="s">
        <v>422</v>
      </c>
      <c r="I3081" s="5" t="s">
        <v>63</v>
      </c>
      <c r="J3081" s="5">
        <v>16.430414539046001</v>
      </c>
      <c r="K3081" s="5">
        <v>-95.014290856482006</v>
      </c>
      <c r="L3081" s="5" t="str">
        <f>HYPERLINK("https://maps.google.com/?q=16.4304145390455,-95.014290856482404", "🔗 Ver Mapa")</f>
        <v>🔗 Ver Mapa</v>
      </c>
    </row>
    <row r="3082" spans="1:12" ht="43.5" x14ac:dyDescent="0.35">
      <c r="A3082" s="6" t="s">
        <v>8</v>
      </c>
      <c r="B3082" s="6" t="s">
        <v>16</v>
      </c>
      <c r="C3082" s="6" t="s">
        <v>421</v>
      </c>
      <c r="D3082" s="6" t="s">
        <v>35</v>
      </c>
      <c r="E3082" s="6" t="s">
        <v>39</v>
      </c>
      <c r="F3082" s="6" t="s">
        <v>162</v>
      </c>
      <c r="G3082" s="6" t="s">
        <v>257</v>
      </c>
      <c r="H3082" s="6" t="s">
        <v>422</v>
      </c>
      <c r="I3082" s="6" t="s">
        <v>63</v>
      </c>
      <c r="J3082" s="6">
        <v>16.430446827369</v>
      </c>
      <c r="K3082" s="6">
        <v>-95.018560949798001</v>
      </c>
      <c r="L3082" s="6" t="str">
        <f>HYPERLINK("https://maps.google.com/?q=16.4304468273691,-95.018560949798498", "🔗 Ver Mapa")</f>
        <v>🔗 Ver Mapa</v>
      </c>
    </row>
    <row r="3083" spans="1:12" ht="43.5" x14ac:dyDescent="0.35">
      <c r="A3083" s="5" t="s">
        <v>8</v>
      </c>
      <c r="B3083" s="5" t="s">
        <v>16</v>
      </c>
      <c r="C3083" s="5" t="s">
        <v>421</v>
      </c>
      <c r="D3083" s="5" t="s">
        <v>35</v>
      </c>
      <c r="E3083" s="5" t="s">
        <v>39</v>
      </c>
      <c r="F3083" s="5" t="s">
        <v>162</v>
      </c>
      <c r="G3083" s="5" t="s">
        <v>257</v>
      </c>
      <c r="H3083" s="5" t="s">
        <v>422</v>
      </c>
      <c r="I3083" s="5" t="s">
        <v>63</v>
      </c>
      <c r="J3083" s="5">
        <v>16.431149406793001</v>
      </c>
      <c r="K3083" s="5">
        <v>-95.004779553367996</v>
      </c>
      <c r="L3083" s="5" t="str">
        <f>HYPERLINK("https://maps.google.com/?q=16.4311494067934,-95.004779553367896", "🔗 Ver Mapa")</f>
        <v>🔗 Ver Mapa</v>
      </c>
    </row>
    <row r="3084" spans="1:12" ht="43.5" x14ac:dyDescent="0.35">
      <c r="A3084" s="6" t="s">
        <v>8</v>
      </c>
      <c r="B3084" s="6" t="s">
        <v>16</v>
      </c>
      <c r="C3084" s="6" t="s">
        <v>421</v>
      </c>
      <c r="D3084" s="6" t="s">
        <v>35</v>
      </c>
      <c r="E3084" s="6" t="s">
        <v>39</v>
      </c>
      <c r="F3084" s="6" t="s">
        <v>162</v>
      </c>
      <c r="G3084" s="6" t="s">
        <v>257</v>
      </c>
      <c r="H3084" s="6" t="s">
        <v>422</v>
      </c>
      <c r="I3084" s="6" t="s">
        <v>63</v>
      </c>
      <c r="J3084" s="6">
        <v>16.431292035584999</v>
      </c>
      <c r="K3084" s="6">
        <v>-95.014136102085999</v>
      </c>
      <c r="L3084" s="6" t="str">
        <f>HYPERLINK("https://maps.google.com/?q=16.4312920355852,-95.014136102086397", "🔗 Ver Mapa")</f>
        <v>🔗 Ver Mapa</v>
      </c>
    </row>
    <row r="3085" spans="1:12" ht="43.5" x14ac:dyDescent="0.35">
      <c r="A3085" s="5" t="s">
        <v>8</v>
      </c>
      <c r="B3085" s="5" t="s">
        <v>16</v>
      </c>
      <c r="C3085" s="5" t="s">
        <v>421</v>
      </c>
      <c r="D3085" s="5" t="s">
        <v>35</v>
      </c>
      <c r="E3085" s="5" t="s">
        <v>39</v>
      </c>
      <c r="F3085" s="5" t="s">
        <v>162</v>
      </c>
      <c r="G3085" s="5" t="s">
        <v>257</v>
      </c>
      <c r="H3085" s="5" t="s">
        <v>422</v>
      </c>
      <c r="I3085" s="5" t="s">
        <v>63</v>
      </c>
      <c r="J3085" s="5">
        <v>16.431321143915</v>
      </c>
      <c r="K3085" s="5">
        <v>-95.026541297741005</v>
      </c>
      <c r="L3085" s="5" t="str">
        <f>HYPERLINK("https://maps.google.com/?q=16.4313211439151,-95.026541297740707", "🔗 Ver Mapa")</f>
        <v>🔗 Ver Mapa</v>
      </c>
    </row>
    <row r="3086" spans="1:12" ht="43.5" x14ac:dyDescent="0.35">
      <c r="A3086" s="6" t="s">
        <v>8</v>
      </c>
      <c r="B3086" s="6" t="s">
        <v>16</v>
      </c>
      <c r="C3086" s="6" t="s">
        <v>421</v>
      </c>
      <c r="D3086" s="6" t="s">
        <v>35</v>
      </c>
      <c r="E3086" s="6" t="s">
        <v>39</v>
      </c>
      <c r="F3086" s="6" t="s">
        <v>162</v>
      </c>
      <c r="G3086" s="6" t="s">
        <v>257</v>
      </c>
      <c r="H3086" s="6" t="s">
        <v>422</v>
      </c>
      <c r="I3086" s="6" t="s">
        <v>63</v>
      </c>
      <c r="J3086" s="6">
        <v>16.431643039118999</v>
      </c>
      <c r="K3086" s="6">
        <v>-95.019314920072006</v>
      </c>
      <c r="L3086" s="6" t="str">
        <f>HYPERLINK("https://maps.google.com/?q=16.4316430391191,-95.019314920072304", "🔗 Ver Mapa")</f>
        <v>🔗 Ver Mapa</v>
      </c>
    </row>
    <row r="3087" spans="1:12" ht="43.5" x14ac:dyDescent="0.35">
      <c r="A3087" s="5" t="s">
        <v>8</v>
      </c>
      <c r="B3087" s="5" t="s">
        <v>16</v>
      </c>
      <c r="C3087" s="5" t="s">
        <v>421</v>
      </c>
      <c r="D3087" s="5" t="s">
        <v>35</v>
      </c>
      <c r="E3087" s="5" t="s">
        <v>39</v>
      </c>
      <c r="F3087" s="5" t="s">
        <v>162</v>
      </c>
      <c r="G3087" s="5" t="s">
        <v>257</v>
      </c>
      <c r="H3087" s="5" t="s">
        <v>422</v>
      </c>
      <c r="I3087" s="5" t="s">
        <v>63</v>
      </c>
      <c r="J3087" s="5">
        <v>16.431710408506</v>
      </c>
      <c r="K3087" s="5">
        <v>-95.004644772367001</v>
      </c>
      <c r="L3087" s="5" t="str">
        <f>HYPERLINK("https://maps.google.com/?q=16.4317104085064,-95.004644772366902", "🔗 Ver Mapa")</f>
        <v>🔗 Ver Mapa</v>
      </c>
    </row>
    <row r="3088" spans="1:12" ht="43.5" x14ac:dyDescent="0.35">
      <c r="A3088" s="6" t="s">
        <v>8</v>
      </c>
      <c r="B3088" s="6" t="s">
        <v>16</v>
      </c>
      <c r="C3088" s="6" t="s">
        <v>421</v>
      </c>
      <c r="D3088" s="6" t="s">
        <v>35</v>
      </c>
      <c r="E3088" s="6" t="s">
        <v>39</v>
      </c>
      <c r="F3088" s="6" t="s">
        <v>162</v>
      </c>
      <c r="G3088" s="6" t="s">
        <v>257</v>
      </c>
      <c r="H3088" s="6" t="s">
        <v>422</v>
      </c>
      <c r="I3088" s="6" t="s">
        <v>63</v>
      </c>
      <c r="J3088" s="6">
        <v>16.431733468152</v>
      </c>
      <c r="K3088" s="6" t="s">
        <v>423</v>
      </c>
      <c r="L3088" s="6" t="str">
        <f>HYPERLINK("https://maps.google.com/?q=16.4317334681521, -95.00477906078142", "🔗 Ver Mapa")</f>
        <v>🔗 Ver Mapa</v>
      </c>
    </row>
    <row r="3089" spans="1:12" ht="43.5" x14ac:dyDescent="0.35">
      <c r="A3089" s="5" t="s">
        <v>8</v>
      </c>
      <c r="B3089" s="5" t="s">
        <v>16</v>
      </c>
      <c r="C3089" s="5" t="s">
        <v>421</v>
      </c>
      <c r="D3089" s="5" t="s">
        <v>35</v>
      </c>
      <c r="E3089" s="5" t="s">
        <v>39</v>
      </c>
      <c r="F3089" s="5" t="s">
        <v>162</v>
      </c>
      <c r="G3089" s="5" t="s">
        <v>257</v>
      </c>
      <c r="H3089" s="5" t="s">
        <v>422</v>
      </c>
      <c r="I3089" s="5" t="s">
        <v>63</v>
      </c>
      <c r="J3089" s="5">
        <v>16.431883913836</v>
      </c>
      <c r="K3089" s="5">
        <v>-95.026325379919996</v>
      </c>
      <c r="L3089" s="5" t="str">
        <f>HYPERLINK("https://maps.google.com/?q=16.4318839138356,-95.026325379920493", "🔗 Ver Mapa")</f>
        <v>🔗 Ver Mapa</v>
      </c>
    </row>
    <row r="3090" spans="1:12" ht="43.5" x14ac:dyDescent="0.35">
      <c r="A3090" s="6" t="s">
        <v>8</v>
      </c>
      <c r="B3090" s="6" t="s">
        <v>16</v>
      </c>
      <c r="C3090" s="6" t="s">
        <v>421</v>
      </c>
      <c r="D3090" s="6" t="s">
        <v>35</v>
      </c>
      <c r="E3090" s="6" t="s">
        <v>39</v>
      </c>
      <c r="F3090" s="6" t="s">
        <v>162</v>
      </c>
      <c r="G3090" s="6" t="s">
        <v>257</v>
      </c>
      <c r="H3090" s="6" t="s">
        <v>422</v>
      </c>
      <c r="I3090" s="6" t="s">
        <v>63</v>
      </c>
      <c r="J3090" s="6">
        <v>16.432546459857999</v>
      </c>
      <c r="K3090" s="6">
        <v>-95.014521240809998</v>
      </c>
      <c r="L3090" s="6" t="str">
        <f>HYPERLINK("https://maps.google.com/?q=16.4325464598581,-95.014521240809998", "🔗 Ver Mapa")</f>
        <v>🔗 Ver Mapa</v>
      </c>
    </row>
    <row r="3091" spans="1:12" ht="43.5" x14ac:dyDescent="0.35">
      <c r="A3091" s="5" t="s">
        <v>8</v>
      </c>
      <c r="B3091" s="5" t="s">
        <v>16</v>
      </c>
      <c r="C3091" s="5" t="s">
        <v>421</v>
      </c>
      <c r="D3091" s="5" t="s">
        <v>35</v>
      </c>
      <c r="E3091" s="5" t="s">
        <v>39</v>
      </c>
      <c r="F3091" s="5" t="s">
        <v>162</v>
      </c>
      <c r="G3091" s="5" t="s">
        <v>257</v>
      </c>
      <c r="H3091" s="5" t="s">
        <v>422</v>
      </c>
      <c r="I3091" s="5" t="s">
        <v>63</v>
      </c>
      <c r="J3091" s="5">
        <v>16.432568327382</v>
      </c>
      <c r="K3091" s="5">
        <v>-95.013634770731002</v>
      </c>
      <c r="L3091" s="5" t="str">
        <f>HYPERLINK("https://maps.google.com/?q=16.4325683273818,-95.013634770730803", "🔗 Ver Mapa")</f>
        <v>🔗 Ver Mapa</v>
      </c>
    </row>
    <row r="3092" spans="1:12" ht="43.5" x14ac:dyDescent="0.35">
      <c r="A3092" s="6" t="s">
        <v>8</v>
      </c>
      <c r="B3092" s="6" t="s">
        <v>16</v>
      </c>
      <c r="C3092" s="6" t="s">
        <v>421</v>
      </c>
      <c r="D3092" s="6" t="s">
        <v>35</v>
      </c>
      <c r="E3092" s="6" t="s">
        <v>39</v>
      </c>
      <c r="F3092" s="6" t="s">
        <v>162</v>
      </c>
      <c r="G3092" s="6" t="s">
        <v>257</v>
      </c>
      <c r="H3092" s="6" t="s">
        <v>422</v>
      </c>
      <c r="I3092" s="6" t="s">
        <v>63</v>
      </c>
      <c r="J3092" s="6">
        <v>16.432830129696999</v>
      </c>
      <c r="K3092" s="6">
        <v>-95.033211775027993</v>
      </c>
      <c r="L3092" s="6" t="str">
        <f>HYPERLINK("https://maps.google.com/?q=16.4328301296973,-95.033211775027894", "🔗 Ver Mapa")</f>
        <v>🔗 Ver Mapa</v>
      </c>
    </row>
    <row r="3093" spans="1:12" ht="43.5" x14ac:dyDescent="0.35">
      <c r="A3093" s="5" t="s">
        <v>8</v>
      </c>
      <c r="B3093" s="5" t="s">
        <v>16</v>
      </c>
      <c r="C3093" s="5" t="s">
        <v>421</v>
      </c>
      <c r="D3093" s="5" t="s">
        <v>35</v>
      </c>
      <c r="E3093" s="5" t="s">
        <v>39</v>
      </c>
      <c r="F3093" s="5" t="s">
        <v>162</v>
      </c>
      <c r="G3093" s="5" t="s">
        <v>257</v>
      </c>
      <c r="H3093" s="5" t="s">
        <v>422</v>
      </c>
      <c r="I3093" s="5" t="s">
        <v>63</v>
      </c>
      <c r="J3093" s="5">
        <v>16.433015908211999</v>
      </c>
      <c r="K3093" s="5">
        <v>-95.034696701187002</v>
      </c>
      <c r="L3093" s="5" t="str">
        <f>HYPERLINK("https://maps.google.com/?q=16.4330159082118,-95.034696701187102", "🔗 Ver Mapa")</f>
        <v>🔗 Ver Mapa</v>
      </c>
    </row>
    <row r="3094" spans="1:12" ht="43.5" x14ac:dyDescent="0.35">
      <c r="A3094" s="6" t="s">
        <v>8</v>
      </c>
      <c r="B3094" s="6" t="s">
        <v>16</v>
      </c>
      <c r="C3094" s="6" t="s">
        <v>421</v>
      </c>
      <c r="D3094" s="6" t="s">
        <v>35</v>
      </c>
      <c r="E3094" s="6" t="s">
        <v>39</v>
      </c>
      <c r="F3094" s="6" t="s">
        <v>162</v>
      </c>
      <c r="G3094" s="6" t="s">
        <v>257</v>
      </c>
      <c r="H3094" s="6" t="s">
        <v>422</v>
      </c>
      <c r="I3094" s="6" t="s">
        <v>63</v>
      </c>
      <c r="J3094" s="6">
        <v>16.433079756154999</v>
      </c>
      <c r="K3094" s="6">
        <v>-95.032438532794998</v>
      </c>
      <c r="L3094" s="6" t="str">
        <f>HYPERLINK("https://maps.google.com/?q=16.4330797561549,-95.032438532795197", "🔗 Ver Mapa")</f>
        <v>🔗 Ver Mapa</v>
      </c>
    </row>
    <row r="3095" spans="1:12" ht="43.5" x14ac:dyDescent="0.35">
      <c r="A3095" s="5" t="s">
        <v>8</v>
      </c>
      <c r="B3095" s="5" t="s">
        <v>16</v>
      </c>
      <c r="C3095" s="5" t="s">
        <v>421</v>
      </c>
      <c r="D3095" s="5" t="s">
        <v>35</v>
      </c>
      <c r="E3095" s="5" t="s">
        <v>39</v>
      </c>
      <c r="F3095" s="5" t="s">
        <v>162</v>
      </c>
      <c r="G3095" s="5" t="s">
        <v>257</v>
      </c>
      <c r="H3095" s="5" t="s">
        <v>422</v>
      </c>
      <c r="I3095" s="5" t="s">
        <v>63</v>
      </c>
      <c r="J3095" s="5">
        <v>16.433270951509002</v>
      </c>
      <c r="K3095" s="5">
        <v>-95.006928322725003</v>
      </c>
      <c r="L3095" s="5" t="str">
        <f>HYPERLINK("https://maps.google.com/?q=16.4332709515093,-95.006928322724704", "🔗 Ver Mapa")</f>
        <v>🔗 Ver Mapa</v>
      </c>
    </row>
    <row r="3096" spans="1:12" ht="43.5" x14ac:dyDescent="0.35">
      <c r="A3096" s="6" t="s">
        <v>8</v>
      </c>
      <c r="B3096" s="6" t="s">
        <v>16</v>
      </c>
      <c r="C3096" s="6" t="s">
        <v>421</v>
      </c>
      <c r="D3096" s="6" t="s">
        <v>35</v>
      </c>
      <c r="E3096" s="6" t="s">
        <v>39</v>
      </c>
      <c r="F3096" s="6" t="s">
        <v>162</v>
      </c>
      <c r="G3096" s="6" t="s">
        <v>257</v>
      </c>
      <c r="H3096" s="6" t="s">
        <v>422</v>
      </c>
      <c r="I3096" s="6" t="s">
        <v>63</v>
      </c>
      <c r="J3096" s="6">
        <v>16.433359156536</v>
      </c>
      <c r="K3096" s="6">
        <v>-95.030500772937998</v>
      </c>
      <c r="L3096" s="6" t="str">
        <f>HYPERLINK("https://maps.google.com/?q=16.4333591565358,-95.030500772938495", "🔗 Ver Mapa")</f>
        <v>🔗 Ver Mapa</v>
      </c>
    </row>
    <row r="3097" spans="1:12" ht="43.5" x14ac:dyDescent="0.35">
      <c r="A3097" s="5" t="s">
        <v>8</v>
      </c>
      <c r="B3097" s="5" t="s">
        <v>16</v>
      </c>
      <c r="C3097" s="5" t="s">
        <v>421</v>
      </c>
      <c r="D3097" s="5" t="s">
        <v>35</v>
      </c>
      <c r="E3097" s="5" t="s">
        <v>39</v>
      </c>
      <c r="F3097" s="5" t="s">
        <v>162</v>
      </c>
      <c r="G3097" s="5" t="s">
        <v>257</v>
      </c>
      <c r="H3097" s="5" t="s">
        <v>422</v>
      </c>
      <c r="I3097" s="5" t="s">
        <v>63</v>
      </c>
      <c r="J3097" s="5">
        <v>16.433883479999999</v>
      </c>
      <c r="K3097" s="5">
        <v>-95.015920159999993</v>
      </c>
      <c r="L3097" s="5" t="str">
        <f>HYPERLINK("https://maps.google.com/?q=16.43388348,-95.015920159999993", "🔗 Ver Mapa")</f>
        <v>🔗 Ver Mapa</v>
      </c>
    </row>
    <row r="3098" spans="1:12" ht="43.5" x14ac:dyDescent="0.35">
      <c r="A3098" s="6" t="s">
        <v>8</v>
      </c>
      <c r="B3098" s="6" t="s">
        <v>16</v>
      </c>
      <c r="C3098" s="6" t="s">
        <v>421</v>
      </c>
      <c r="D3098" s="6" t="s">
        <v>35</v>
      </c>
      <c r="E3098" s="6" t="s">
        <v>39</v>
      </c>
      <c r="F3098" s="6" t="s">
        <v>162</v>
      </c>
      <c r="G3098" s="6" t="s">
        <v>257</v>
      </c>
      <c r="H3098" s="6" t="s">
        <v>422</v>
      </c>
      <c r="I3098" s="6" t="s">
        <v>63</v>
      </c>
      <c r="J3098" s="6">
        <v>16.434394689375001</v>
      </c>
      <c r="K3098" s="6">
        <v>-95.027536373594003</v>
      </c>
      <c r="L3098" s="6" t="str">
        <f>HYPERLINK("https://maps.google.com/?q=16.4343946893753,-95.027536373593804", "🔗 Ver Mapa")</f>
        <v>🔗 Ver Mapa</v>
      </c>
    </row>
    <row r="3099" spans="1:12" ht="43.5" x14ac:dyDescent="0.35">
      <c r="A3099" s="5" t="s">
        <v>8</v>
      </c>
      <c r="B3099" s="5" t="s">
        <v>16</v>
      </c>
      <c r="C3099" s="5" t="s">
        <v>421</v>
      </c>
      <c r="D3099" s="5" t="s">
        <v>35</v>
      </c>
      <c r="E3099" s="5" t="s">
        <v>39</v>
      </c>
      <c r="F3099" s="5" t="s">
        <v>162</v>
      </c>
      <c r="G3099" s="5" t="s">
        <v>257</v>
      </c>
      <c r="H3099" s="5" t="s">
        <v>422</v>
      </c>
      <c r="I3099" s="5" t="s">
        <v>63</v>
      </c>
      <c r="J3099" s="5">
        <v>16.434450913441999</v>
      </c>
      <c r="K3099" s="5">
        <v>-95.018534845222007</v>
      </c>
      <c r="L3099" s="5" t="str">
        <f>HYPERLINK("https://maps.google.com/?q=16.4344509134416,-95.018534845222405", "🔗 Ver Mapa")</f>
        <v>🔗 Ver Mapa</v>
      </c>
    </row>
    <row r="3100" spans="1:12" ht="43.5" x14ac:dyDescent="0.35">
      <c r="A3100" s="6" t="s">
        <v>8</v>
      </c>
      <c r="B3100" s="6" t="s">
        <v>16</v>
      </c>
      <c r="C3100" s="6" t="s">
        <v>421</v>
      </c>
      <c r="D3100" s="6" t="s">
        <v>35</v>
      </c>
      <c r="E3100" s="6" t="s">
        <v>39</v>
      </c>
      <c r="F3100" s="6" t="s">
        <v>162</v>
      </c>
      <c r="G3100" s="6" t="s">
        <v>257</v>
      </c>
      <c r="H3100" s="6" t="s">
        <v>422</v>
      </c>
      <c r="I3100" s="6" t="s">
        <v>63</v>
      </c>
      <c r="J3100" s="6">
        <v>16.435735579525002</v>
      </c>
      <c r="K3100" s="6">
        <v>-95.025420777598001</v>
      </c>
      <c r="L3100" s="6" t="str">
        <f>HYPERLINK("https://maps.google.com/?q=16.4357355795251,-95.025420777597901", "🔗 Ver Mapa")</f>
        <v>🔗 Ver Mapa</v>
      </c>
    </row>
    <row r="3101" spans="1:12" ht="43.5" x14ac:dyDescent="0.35">
      <c r="A3101" s="5" t="s">
        <v>8</v>
      </c>
      <c r="B3101" s="5" t="s">
        <v>16</v>
      </c>
      <c r="C3101" s="5" t="s">
        <v>421</v>
      </c>
      <c r="D3101" s="5" t="s">
        <v>35</v>
      </c>
      <c r="E3101" s="5" t="s">
        <v>39</v>
      </c>
      <c r="F3101" s="5" t="s">
        <v>162</v>
      </c>
      <c r="G3101" s="5" t="s">
        <v>257</v>
      </c>
      <c r="H3101" s="5" t="s">
        <v>422</v>
      </c>
      <c r="I3101" s="5" t="s">
        <v>63</v>
      </c>
      <c r="J3101" s="5">
        <v>16.435751879333999</v>
      </c>
      <c r="K3101" s="5">
        <v>-95.028281302907004</v>
      </c>
      <c r="L3101" s="5" t="str">
        <f>HYPERLINK("https://maps.google.com/?q=16.4357518793336,-95.028281302906706", "🔗 Ver Mapa")</f>
        <v>🔗 Ver Mapa</v>
      </c>
    </row>
    <row r="3102" spans="1:12" ht="43.5" x14ac:dyDescent="0.35">
      <c r="A3102" s="6" t="s">
        <v>8</v>
      </c>
      <c r="B3102" s="6" t="s">
        <v>16</v>
      </c>
      <c r="C3102" s="6" t="s">
        <v>421</v>
      </c>
      <c r="D3102" s="6" t="s">
        <v>35</v>
      </c>
      <c r="E3102" s="6" t="s">
        <v>39</v>
      </c>
      <c r="F3102" s="6" t="s">
        <v>162</v>
      </c>
      <c r="G3102" s="6" t="s">
        <v>257</v>
      </c>
      <c r="H3102" s="6" t="s">
        <v>422</v>
      </c>
      <c r="I3102" s="6" t="s">
        <v>63</v>
      </c>
      <c r="J3102" s="6">
        <v>16.436236732605</v>
      </c>
      <c r="K3102" s="6">
        <v>-95.022794109320003</v>
      </c>
      <c r="L3102" s="6" t="str">
        <f>HYPERLINK("https://maps.google.com/?q=16.4362367326054,-95.022794109319605", "🔗 Ver Mapa")</f>
        <v>🔗 Ver Mapa</v>
      </c>
    </row>
    <row r="3103" spans="1:12" ht="43.5" x14ac:dyDescent="0.35">
      <c r="A3103" s="5" t="s">
        <v>8</v>
      </c>
      <c r="B3103" s="5" t="s">
        <v>16</v>
      </c>
      <c r="C3103" s="5" t="s">
        <v>421</v>
      </c>
      <c r="D3103" s="5" t="s">
        <v>35</v>
      </c>
      <c r="E3103" s="5" t="s">
        <v>39</v>
      </c>
      <c r="F3103" s="5" t="s">
        <v>162</v>
      </c>
      <c r="G3103" s="5" t="s">
        <v>257</v>
      </c>
      <c r="H3103" s="5" t="s">
        <v>422</v>
      </c>
      <c r="I3103" s="5" t="s">
        <v>63</v>
      </c>
      <c r="J3103" s="5">
        <v>16.436302386112001</v>
      </c>
      <c r="K3103" s="5">
        <v>-95.027957117906993</v>
      </c>
      <c r="L3103" s="5" t="str">
        <f>HYPERLINK("https://maps.google.com/?q=16.4363023861121,-95.027957117907206", "🔗 Ver Mapa")</f>
        <v>🔗 Ver Mapa</v>
      </c>
    </row>
    <row r="3104" spans="1:12" ht="43.5" x14ac:dyDescent="0.35">
      <c r="A3104" s="6" t="s">
        <v>8</v>
      </c>
      <c r="B3104" s="6" t="s">
        <v>16</v>
      </c>
      <c r="C3104" s="6" t="s">
        <v>421</v>
      </c>
      <c r="D3104" s="6" t="s">
        <v>35</v>
      </c>
      <c r="E3104" s="6" t="s">
        <v>39</v>
      </c>
      <c r="F3104" s="6" t="s">
        <v>162</v>
      </c>
      <c r="G3104" s="6" t="s">
        <v>257</v>
      </c>
      <c r="H3104" s="6" t="s">
        <v>422</v>
      </c>
      <c r="I3104" s="6" t="s">
        <v>63</v>
      </c>
      <c r="J3104" s="6">
        <v>16.436566320731998</v>
      </c>
      <c r="K3104" s="6">
        <v>-95.025028246177996</v>
      </c>
      <c r="L3104" s="6" t="str">
        <f>HYPERLINK("https://maps.google.com/?q=16.4365663207319,-95.025028246178195", "🔗 Ver Mapa")</f>
        <v>🔗 Ver Mapa</v>
      </c>
    </row>
    <row r="3105" spans="1:12" ht="43.5" x14ac:dyDescent="0.35">
      <c r="A3105" s="5" t="s">
        <v>8</v>
      </c>
      <c r="B3105" s="5" t="s">
        <v>16</v>
      </c>
      <c r="C3105" s="5" t="s">
        <v>421</v>
      </c>
      <c r="D3105" s="5" t="s">
        <v>35</v>
      </c>
      <c r="E3105" s="5" t="s">
        <v>39</v>
      </c>
      <c r="F3105" s="5" t="s">
        <v>162</v>
      </c>
      <c r="G3105" s="5" t="s">
        <v>257</v>
      </c>
      <c r="H3105" s="5" t="s">
        <v>422</v>
      </c>
      <c r="I3105" s="5" t="s">
        <v>63</v>
      </c>
      <c r="J3105" s="5">
        <v>16.436752304624999</v>
      </c>
      <c r="K3105" s="5">
        <v>-95.025953128785005</v>
      </c>
      <c r="L3105" s="5" t="str">
        <f>HYPERLINK("https://maps.google.com/?q=16.4367523046247,-95.025953128784707", "🔗 Ver Mapa")</f>
        <v>🔗 Ver Mapa</v>
      </c>
    </row>
    <row r="3106" spans="1:12" ht="43.5" x14ac:dyDescent="0.35">
      <c r="A3106" s="6" t="s">
        <v>8</v>
      </c>
      <c r="B3106" s="6" t="s">
        <v>16</v>
      </c>
      <c r="C3106" s="6" t="s">
        <v>421</v>
      </c>
      <c r="D3106" s="6" t="s">
        <v>35</v>
      </c>
      <c r="E3106" s="6" t="s">
        <v>39</v>
      </c>
      <c r="F3106" s="6" t="s">
        <v>162</v>
      </c>
      <c r="G3106" s="6" t="s">
        <v>257</v>
      </c>
      <c r="H3106" s="6" t="s">
        <v>422</v>
      </c>
      <c r="I3106" s="6" t="s">
        <v>63</v>
      </c>
      <c r="J3106" s="6">
        <v>16.436833896723002</v>
      </c>
      <c r="K3106" s="6">
        <v>-95.023085128985002</v>
      </c>
      <c r="L3106" s="6" t="str">
        <f>HYPERLINK("https://maps.google.com/?q=16.4368338967232,-95.023085128985002", "🔗 Ver Mapa")</f>
        <v>🔗 Ver Mapa</v>
      </c>
    </row>
    <row r="3107" spans="1:12" ht="43.5" x14ac:dyDescent="0.35">
      <c r="A3107" s="5" t="s">
        <v>8</v>
      </c>
      <c r="B3107" s="5" t="s">
        <v>16</v>
      </c>
      <c r="C3107" s="5" t="s">
        <v>421</v>
      </c>
      <c r="D3107" s="5" t="s">
        <v>35</v>
      </c>
      <c r="E3107" s="5" t="s">
        <v>39</v>
      </c>
      <c r="F3107" s="5" t="s">
        <v>162</v>
      </c>
      <c r="G3107" s="5" t="s">
        <v>257</v>
      </c>
      <c r="H3107" s="5" t="s">
        <v>422</v>
      </c>
      <c r="I3107" s="5" t="s">
        <v>63</v>
      </c>
      <c r="J3107" s="5">
        <v>16.43686318288</v>
      </c>
      <c r="K3107" s="5">
        <v>-95.025790599920001</v>
      </c>
      <c r="L3107" s="5" t="str">
        <f>HYPERLINK("https://maps.google.com/?q=16.4368631828804,-95.025790599920199", "🔗 Ver Mapa")</f>
        <v>🔗 Ver Mapa</v>
      </c>
    </row>
    <row r="3108" spans="1:12" ht="43.5" x14ac:dyDescent="0.35">
      <c r="A3108" s="6" t="s">
        <v>8</v>
      </c>
      <c r="B3108" s="6" t="s">
        <v>16</v>
      </c>
      <c r="C3108" s="6" t="s">
        <v>421</v>
      </c>
      <c r="D3108" s="6" t="s">
        <v>35</v>
      </c>
      <c r="E3108" s="6" t="s">
        <v>39</v>
      </c>
      <c r="F3108" s="6" t="s">
        <v>162</v>
      </c>
      <c r="G3108" s="6" t="s">
        <v>257</v>
      </c>
      <c r="H3108" s="6" t="s">
        <v>422</v>
      </c>
      <c r="I3108" s="6" t="s">
        <v>63</v>
      </c>
      <c r="J3108" s="6">
        <v>16.437127312148998</v>
      </c>
      <c r="K3108" s="6">
        <v>-95.025832507499004</v>
      </c>
      <c r="L3108" s="6" t="str">
        <f>HYPERLINK("https://maps.google.com/?q=16.4371273121488,-95.025832507498805", "🔗 Ver Mapa")</f>
        <v>🔗 Ver Mapa</v>
      </c>
    </row>
    <row r="3109" spans="1:12" ht="43.5" x14ac:dyDescent="0.35">
      <c r="A3109" s="5" t="s">
        <v>8</v>
      </c>
      <c r="B3109" s="5" t="s">
        <v>16</v>
      </c>
      <c r="C3109" s="5" t="s">
        <v>421</v>
      </c>
      <c r="D3109" s="5" t="s">
        <v>35</v>
      </c>
      <c r="E3109" s="5" t="s">
        <v>39</v>
      </c>
      <c r="F3109" s="5" t="s">
        <v>162</v>
      </c>
      <c r="G3109" s="5" t="s">
        <v>257</v>
      </c>
      <c r="H3109" s="5" t="s">
        <v>422</v>
      </c>
      <c r="I3109" s="5" t="s">
        <v>63</v>
      </c>
      <c r="J3109" s="5">
        <v>16.437174429999999</v>
      </c>
      <c r="K3109" s="5">
        <v>-95.03318797</v>
      </c>
      <c r="L3109" s="5" t="str">
        <f>HYPERLINK("https://maps.google.com/?q=16.43717443,-95.03318797", "🔗 Ver Mapa")</f>
        <v>🔗 Ver Mapa</v>
      </c>
    </row>
    <row r="3110" spans="1:12" ht="43.5" x14ac:dyDescent="0.35">
      <c r="A3110" s="6" t="s">
        <v>8</v>
      </c>
      <c r="B3110" s="6" t="s">
        <v>16</v>
      </c>
      <c r="C3110" s="6" t="s">
        <v>421</v>
      </c>
      <c r="D3110" s="6" t="s">
        <v>35</v>
      </c>
      <c r="E3110" s="6" t="s">
        <v>39</v>
      </c>
      <c r="F3110" s="6" t="s">
        <v>162</v>
      </c>
      <c r="G3110" s="6" t="s">
        <v>257</v>
      </c>
      <c r="H3110" s="6" t="s">
        <v>422</v>
      </c>
      <c r="I3110" s="6" t="s">
        <v>63</v>
      </c>
      <c r="J3110" s="6">
        <v>16.437290232818999</v>
      </c>
      <c r="K3110" s="6">
        <v>-95.026286808587002</v>
      </c>
      <c r="L3110" s="6" t="str">
        <f>HYPERLINK("https://maps.google.com/?q=16.4372902328191,-95.026286808586505", "🔗 Ver Mapa")</f>
        <v>🔗 Ver Mapa</v>
      </c>
    </row>
    <row r="3111" spans="1:12" ht="43.5" x14ac:dyDescent="0.35">
      <c r="A3111" s="5" t="s">
        <v>8</v>
      </c>
      <c r="B3111" s="5" t="s">
        <v>16</v>
      </c>
      <c r="C3111" s="5" t="s">
        <v>421</v>
      </c>
      <c r="D3111" s="5" t="s">
        <v>35</v>
      </c>
      <c r="E3111" s="5" t="s">
        <v>39</v>
      </c>
      <c r="F3111" s="5" t="s">
        <v>162</v>
      </c>
      <c r="G3111" s="5" t="s">
        <v>257</v>
      </c>
      <c r="H3111" s="5" t="s">
        <v>422</v>
      </c>
      <c r="I3111" s="5" t="s">
        <v>63</v>
      </c>
      <c r="J3111" s="5">
        <v>16.437557269831998</v>
      </c>
      <c r="K3111" s="5">
        <v>-95.029965222097005</v>
      </c>
      <c r="L3111" s="5" t="str">
        <f>HYPERLINK("https://maps.google.com/?q=16.4375572698317,-95.029965222096706", "🔗 Ver Mapa")</f>
        <v>🔗 Ver Mapa</v>
      </c>
    </row>
    <row r="3112" spans="1:12" ht="43.5" x14ac:dyDescent="0.35">
      <c r="A3112" s="6" t="s">
        <v>8</v>
      </c>
      <c r="B3112" s="6" t="s">
        <v>16</v>
      </c>
      <c r="C3112" s="6" t="s">
        <v>421</v>
      </c>
      <c r="D3112" s="6" t="s">
        <v>35</v>
      </c>
      <c r="E3112" s="6" t="s">
        <v>39</v>
      </c>
      <c r="F3112" s="6" t="s">
        <v>162</v>
      </c>
      <c r="G3112" s="6" t="s">
        <v>257</v>
      </c>
      <c r="H3112" s="6" t="s">
        <v>422</v>
      </c>
      <c r="I3112" s="6" t="s">
        <v>63</v>
      </c>
      <c r="J3112" s="6">
        <v>16.437611056895999</v>
      </c>
      <c r="K3112" s="6">
        <v>-95.031167206785</v>
      </c>
      <c r="L3112" s="6" t="str">
        <f>HYPERLINK("https://maps.google.com/?q=16.4376110568957,-95.0311672067849", "🔗 Ver Mapa")</f>
        <v>🔗 Ver Mapa</v>
      </c>
    </row>
    <row r="3113" spans="1:12" ht="43.5" x14ac:dyDescent="0.35">
      <c r="A3113" s="5" t="s">
        <v>8</v>
      </c>
      <c r="B3113" s="5" t="s">
        <v>16</v>
      </c>
      <c r="C3113" s="5" t="s">
        <v>421</v>
      </c>
      <c r="D3113" s="5" t="s">
        <v>35</v>
      </c>
      <c r="E3113" s="5" t="s">
        <v>39</v>
      </c>
      <c r="F3113" s="5" t="s">
        <v>162</v>
      </c>
      <c r="G3113" s="5" t="s">
        <v>257</v>
      </c>
      <c r="H3113" s="5" t="s">
        <v>422</v>
      </c>
      <c r="I3113" s="5" t="s">
        <v>63</v>
      </c>
      <c r="J3113" s="5">
        <v>16.438114306283001</v>
      </c>
      <c r="K3113" s="5">
        <v>-95.027372855636003</v>
      </c>
      <c r="L3113" s="5" t="str">
        <f>HYPERLINK("https://maps.google.com/?q=16.4381143062834,-95.027372855635605", "🔗 Ver Mapa")</f>
        <v>🔗 Ver Mapa</v>
      </c>
    </row>
    <row r="3114" spans="1:12" ht="43.5" x14ac:dyDescent="0.35">
      <c r="A3114" s="6" t="s">
        <v>8</v>
      </c>
      <c r="B3114" s="6" t="s">
        <v>16</v>
      </c>
      <c r="C3114" s="6" t="s">
        <v>421</v>
      </c>
      <c r="D3114" s="6" t="s">
        <v>35</v>
      </c>
      <c r="E3114" s="6" t="s">
        <v>39</v>
      </c>
      <c r="F3114" s="6" t="s">
        <v>162</v>
      </c>
      <c r="G3114" s="6" t="s">
        <v>257</v>
      </c>
      <c r="H3114" s="6" t="s">
        <v>422</v>
      </c>
      <c r="I3114" s="6" t="s">
        <v>63</v>
      </c>
      <c r="J3114" s="6">
        <v>16.438210034583001</v>
      </c>
      <c r="K3114" s="6">
        <v>-95.015414662213004</v>
      </c>
      <c r="L3114" s="6" t="str">
        <f>HYPERLINK("https://maps.google.com/?q=16.4382100345831,-95.015414662213004", "🔗 Ver Mapa")</f>
        <v>🔗 Ver Mapa</v>
      </c>
    </row>
    <row r="3115" spans="1:12" ht="43.5" x14ac:dyDescent="0.35">
      <c r="A3115" s="5" t="s">
        <v>8</v>
      </c>
      <c r="B3115" s="5" t="s">
        <v>16</v>
      </c>
      <c r="C3115" s="5" t="s">
        <v>421</v>
      </c>
      <c r="D3115" s="5" t="s">
        <v>35</v>
      </c>
      <c r="E3115" s="5" t="s">
        <v>39</v>
      </c>
      <c r="F3115" s="5" t="s">
        <v>162</v>
      </c>
      <c r="G3115" s="5" t="s">
        <v>257</v>
      </c>
      <c r="H3115" s="5" t="s">
        <v>422</v>
      </c>
      <c r="I3115" s="5" t="s">
        <v>63</v>
      </c>
      <c r="J3115" s="5">
        <v>16.438272097942999</v>
      </c>
      <c r="K3115" s="5">
        <v>-95.016529455338002</v>
      </c>
      <c r="L3115" s="5" t="str">
        <f>HYPERLINK("https://maps.google.com/?q=16.4382720979427,-95.016529455337704", "🔗 Ver Mapa")</f>
        <v>🔗 Ver Mapa</v>
      </c>
    </row>
    <row r="3116" spans="1:12" ht="43.5" x14ac:dyDescent="0.35">
      <c r="A3116" s="6" t="s">
        <v>8</v>
      </c>
      <c r="B3116" s="6" t="s">
        <v>16</v>
      </c>
      <c r="C3116" s="6" t="s">
        <v>421</v>
      </c>
      <c r="D3116" s="6" t="s">
        <v>35</v>
      </c>
      <c r="E3116" s="6" t="s">
        <v>39</v>
      </c>
      <c r="F3116" s="6" t="s">
        <v>162</v>
      </c>
      <c r="G3116" s="6" t="s">
        <v>257</v>
      </c>
      <c r="H3116" s="6" t="s">
        <v>422</v>
      </c>
      <c r="I3116" s="6" t="s">
        <v>63</v>
      </c>
      <c r="J3116" s="6">
        <v>16.438361747136</v>
      </c>
      <c r="K3116" s="6">
        <v>-95.019510128500997</v>
      </c>
      <c r="L3116" s="6" t="str">
        <f>HYPERLINK("https://maps.google.com/?q=16.4383617471362,-95.019510128500997", "🔗 Ver Mapa")</f>
        <v>🔗 Ver Mapa</v>
      </c>
    </row>
    <row r="3117" spans="1:12" ht="43.5" x14ac:dyDescent="0.35">
      <c r="A3117" s="5" t="s">
        <v>8</v>
      </c>
      <c r="B3117" s="5" t="s">
        <v>16</v>
      </c>
      <c r="C3117" s="5" t="s">
        <v>421</v>
      </c>
      <c r="D3117" s="5" t="s">
        <v>35</v>
      </c>
      <c r="E3117" s="5" t="s">
        <v>39</v>
      </c>
      <c r="F3117" s="5" t="s">
        <v>162</v>
      </c>
      <c r="G3117" s="5" t="s">
        <v>257</v>
      </c>
      <c r="H3117" s="5" t="s">
        <v>422</v>
      </c>
      <c r="I3117" s="5" t="s">
        <v>63</v>
      </c>
      <c r="J3117" s="5">
        <v>16.438361814328999</v>
      </c>
      <c r="K3117" s="5">
        <v>-95.027536907339993</v>
      </c>
      <c r="L3117" s="5" t="str">
        <f>HYPERLINK("https://maps.google.com/?q=16.4383618143286,-95.027536907339694", "🔗 Ver Mapa")</f>
        <v>🔗 Ver Mapa</v>
      </c>
    </row>
    <row r="3118" spans="1:12" ht="43.5" x14ac:dyDescent="0.35">
      <c r="A3118" s="6" t="s">
        <v>8</v>
      </c>
      <c r="B3118" s="6" t="s">
        <v>16</v>
      </c>
      <c r="C3118" s="6" t="s">
        <v>421</v>
      </c>
      <c r="D3118" s="6" t="s">
        <v>35</v>
      </c>
      <c r="E3118" s="6" t="s">
        <v>39</v>
      </c>
      <c r="F3118" s="6" t="s">
        <v>162</v>
      </c>
      <c r="G3118" s="6" t="s">
        <v>257</v>
      </c>
      <c r="H3118" s="6" t="s">
        <v>422</v>
      </c>
      <c r="I3118" s="6" t="s">
        <v>63</v>
      </c>
      <c r="J3118" s="6">
        <v>16.438372449972999</v>
      </c>
      <c r="K3118" s="6">
        <v>-95.013547587147997</v>
      </c>
      <c r="L3118" s="6" t="str">
        <f>HYPERLINK("https://maps.google.com/?q=16.4383724499732,-95.013547587147698", "🔗 Ver Mapa")</f>
        <v>🔗 Ver Mapa</v>
      </c>
    </row>
    <row r="3119" spans="1:12" ht="43.5" x14ac:dyDescent="0.35">
      <c r="A3119" s="5" t="s">
        <v>8</v>
      </c>
      <c r="B3119" s="5" t="s">
        <v>16</v>
      </c>
      <c r="C3119" s="5" t="s">
        <v>421</v>
      </c>
      <c r="D3119" s="5" t="s">
        <v>35</v>
      </c>
      <c r="E3119" s="5" t="s">
        <v>39</v>
      </c>
      <c r="F3119" s="5" t="s">
        <v>162</v>
      </c>
      <c r="G3119" s="5" t="s">
        <v>257</v>
      </c>
      <c r="H3119" s="5" t="s">
        <v>422</v>
      </c>
      <c r="I3119" s="5" t="s">
        <v>63</v>
      </c>
      <c r="J3119" s="5">
        <v>16.438481294051002</v>
      </c>
      <c r="K3119" s="5">
        <v>-95.018173253418993</v>
      </c>
      <c r="L3119" s="5" t="str">
        <f>HYPERLINK("https://maps.google.com/?q=16.4384812940507,-95.018173253418595", "🔗 Ver Mapa")</f>
        <v>🔗 Ver Mapa</v>
      </c>
    </row>
    <row r="3120" spans="1:12" ht="43.5" x14ac:dyDescent="0.35">
      <c r="A3120" s="6" t="s">
        <v>8</v>
      </c>
      <c r="B3120" s="6" t="s">
        <v>16</v>
      </c>
      <c r="C3120" s="6" t="s">
        <v>421</v>
      </c>
      <c r="D3120" s="6" t="s">
        <v>35</v>
      </c>
      <c r="E3120" s="6" t="s">
        <v>39</v>
      </c>
      <c r="F3120" s="6" t="s">
        <v>162</v>
      </c>
      <c r="G3120" s="6" t="s">
        <v>257</v>
      </c>
      <c r="H3120" s="6" t="s">
        <v>422</v>
      </c>
      <c r="I3120" s="6" t="s">
        <v>63</v>
      </c>
      <c r="J3120" s="6">
        <v>16.438485431208001</v>
      </c>
      <c r="K3120" s="6">
        <v>-95.017689604807003</v>
      </c>
      <c r="L3120" s="6" t="str">
        <f>HYPERLINK("https://maps.google.com/?q=16.438485431208,-95.017689604807202", "🔗 Ver Mapa")</f>
        <v>🔗 Ver Mapa</v>
      </c>
    </row>
    <row r="3121" spans="1:12" ht="43.5" x14ac:dyDescent="0.35">
      <c r="A3121" s="5" t="s">
        <v>8</v>
      </c>
      <c r="B3121" s="5" t="s">
        <v>16</v>
      </c>
      <c r="C3121" s="5" t="s">
        <v>421</v>
      </c>
      <c r="D3121" s="5" t="s">
        <v>35</v>
      </c>
      <c r="E3121" s="5" t="s">
        <v>39</v>
      </c>
      <c r="F3121" s="5" t="s">
        <v>162</v>
      </c>
      <c r="G3121" s="5" t="s">
        <v>257</v>
      </c>
      <c r="H3121" s="5" t="s">
        <v>422</v>
      </c>
      <c r="I3121" s="5" t="s">
        <v>63</v>
      </c>
      <c r="J3121" s="5">
        <v>16.438513996030998</v>
      </c>
      <c r="K3121" s="5">
        <v>-95.019410285879005</v>
      </c>
      <c r="L3121" s="5" t="str">
        <f>HYPERLINK("https://maps.google.com/?q=16.4385139960313,-95.019410285879204", "🔗 Ver Mapa")</f>
        <v>🔗 Ver Mapa</v>
      </c>
    </row>
    <row r="3122" spans="1:12" ht="43.5" x14ac:dyDescent="0.35">
      <c r="A3122" s="6" t="s">
        <v>8</v>
      </c>
      <c r="B3122" s="6" t="s">
        <v>16</v>
      </c>
      <c r="C3122" s="6" t="s">
        <v>421</v>
      </c>
      <c r="D3122" s="6" t="s">
        <v>35</v>
      </c>
      <c r="E3122" s="6" t="s">
        <v>39</v>
      </c>
      <c r="F3122" s="6" t="s">
        <v>162</v>
      </c>
      <c r="G3122" s="6" t="s">
        <v>257</v>
      </c>
      <c r="H3122" s="6" t="s">
        <v>422</v>
      </c>
      <c r="I3122" s="6" t="s">
        <v>63</v>
      </c>
      <c r="J3122" s="6">
        <v>16.438776954891999</v>
      </c>
      <c r="K3122" s="6">
        <v>-95.027389879347993</v>
      </c>
      <c r="L3122" s="6" t="str">
        <f>HYPERLINK("https://maps.google.com/?q=16.4387769548917,-95.027389879348107", "🔗 Ver Mapa")</f>
        <v>🔗 Ver Mapa</v>
      </c>
    </row>
    <row r="3123" spans="1:12" ht="43.5" x14ac:dyDescent="0.35">
      <c r="A3123" s="5" t="s">
        <v>8</v>
      </c>
      <c r="B3123" s="5" t="s">
        <v>16</v>
      </c>
      <c r="C3123" s="5" t="s">
        <v>421</v>
      </c>
      <c r="D3123" s="5" t="s">
        <v>35</v>
      </c>
      <c r="E3123" s="5" t="s">
        <v>39</v>
      </c>
      <c r="F3123" s="5" t="s">
        <v>162</v>
      </c>
      <c r="G3123" s="5" t="s">
        <v>257</v>
      </c>
      <c r="H3123" s="5" t="s">
        <v>422</v>
      </c>
      <c r="I3123" s="5" t="s">
        <v>63</v>
      </c>
      <c r="J3123" s="5">
        <v>16.438778450000001</v>
      </c>
      <c r="K3123" s="5">
        <v>-95.033947810000001</v>
      </c>
      <c r="L3123" s="5" t="str">
        <f>HYPERLINK("https://maps.google.com/?q=16.43877845,-95.033947810000001", "🔗 Ver Mapa")</f>
        <v>🔗 Ver Mapa</v>
      </c>
    </row>
    <row r="3124" spans="1:12" ht="43.5" x14ac:dyDescent="0.35">
      <c r="A3124" s="6" t="s">
        <v>8</v>
      </c>
      <c r="B3124" s="6" t="s">
        <v>16</v>
      </c>
      <c r="C3124" s="6" t="s">
        <v>421</v>
      </c>
      <c r="D3124" s="6" t="s">
        <v>35</v>
      </c>
      <c r="E3124" s="6" t="s">
        <v>39</v>
      </c>
      <c r="F3124" s="6" t="s">
        <v>162</v>
      </c>
      <c r="G3124" s="6" t="s">
        <v>257</v>
      </c>
      <c r="H3124" s="6" t="s">
        <v>422</v>
      </c>
      <c r="I3124" s="6" t="s">
        <v>63</v>
      </c>
      <c r="J3124" s="6">
        <v>16.438860466781001</v>
      </c>
      <c r="K3124" s="6">
        <v>-95.019903473856004</v>
      </c>
      <c r="L3124" s="6" t="str">
        <f>HYPERLINK("https://maps.google.com/?q=16.4388604667805,-95.019903473856104", "🔗 Ver Mapa")</f>
        <v>🔗 Ver Mapa</v>
      </c>
    </row>
    <row r="3125" spans="1:12" ht="43.5" x14ac:dyDescent="0.35">
      <c r="A3125" s="5" t="s">
        <v>8</v>
      </c>
      <c r="B3125" s="5" t="s">
        <v>16</v>
      </c>
      <c r="C3125" s="5" t="s">
        <v>421</v>
      </c>
      <c r="D3125" s="5" t="s">
        <v>35</v>
      </c>
      <c r="E3125" s="5" t="s">
        <v>39</v>
      </c>
      <c r="F3125" s="5" t="s">
        <v>162</v>
      </c>
      <c r="G3125" s="5" t="s">
        <v>257</v>
      </c>
      <c r="H3125" s="5" t="s">
        <v>422</v>
      </c>
      <c r="I3125" s="5" t="s">
        <v>63</v>
      </c>
      <c r="J3125" s="5">
        <v>16.439195706140001</v>
      </c>
      <c r="K3125" s="5">
        <v>-95.028410770091</v>
      </c>
      <c r="L3125" s="5" t="str">
        <f>HYPERLINK("https://maps.google.com/?q=16.4391957061395,-95.0284107700909", "🔗 Ver Mapa")</f>
        <v>🔗 Ver Mapa</v>
      </c>
    </row>
    <row r="3126" spans="1:12" ht="43.5" x14ac:dyDescent="0.35">
      <c r="A3126" s="6" t="s">
        <v>8</v>
      </c>
      <c r="B3126" s="6" t="s">
        <v>16</v>
      </c>
      <c r="C3126" s="6" t="s">
        <v>421</v>
      </c>
      <c r="D3126" s="6" t="s">
        <v>35</v>
      </c>
      <c r="E3126" s="6" t="s">
        <v>39</v>
      </c>
      <c r="F3126" s="6" t="s">
        <v>162</v>
      </c>
      <c r="G3126" s="6" t="s">
        <v>257</v>
      </c>
      <c r="H3126" s="6" t="s">
        <v>422</v>
      </c>
      <c r="I3126" s="6" t="s">
        <v>63</v>
      </c>
      <c r="J3126" s="6">
        <v>16.439224786175</v>
      </c>
      <c r="K3126" s="6">
        <v>-95.030109644961001</v>
      </c>
      <c r="L3126" s="6" t="str">
        <f>HYPERLINK("https://maps.google.com/?q=16.439224786175,-95.030109644960604", "🔗 Ver Mapa")</f>
        <v>🔗 Ver Mapa</v>
      </c>
    </row>
    <row r="3127" spans="1:12" ht="43.5" x14ac:dyDescent="0.35">
      <c r="A3127" s="5" t="s">
        <v>8</v>
      </c>
      <c r="B3127" s="5" t="s">
        <v>16</v>
      </c>
      <c r="C3127" s="5" t="s">
        <v>421</v>
      </c>
      <c r="D3127" s="5" t="s">
        <v>35</v>
      </c>
      <c r="E3127" s="5" t="s">
        <v>39</v>
      </c>
      <c r="F3127" s="5" t="s">
        <v>162</v>
      </c>
      <c r="G3127" s="5" t="s">
        <v>257</v>
      </c>
      <c r="H3127" s="5" t="s">
        <v>422</v>
      </c>
      <c r="I3127" s="5" t="s">
        <v>63</v>
      </c>
      <c r="J3127" s="5">
        <v>16.439304593420001</v>
      </c>
      <c r="K3127" s="5">
        <v>-95.029195785549007</v>
      </c>
      <c r="L3127" s="5" t="str">
        <f>HYPERLINK("https://maps.google.com/?q=16.4393045934203,-95.029195785549007", "🔗 Ver Mapa")</f>
        <v>🔗 Ver Mapa</v>
      </c>
    </row>
    <row r="3128" spans="1:12" ht="43.5" x14ac:dyDescent="0.35">
      <c r="A3128" s="6" t="s">
        <v>8</v>
      </c>
      <c r="B3128" s="6" t="s">
        <v>16</v>
      </c>
      <c r="C3128" s="6" t="s">
        <v>421</v>
      </c>
      <c r="D3128" s="6" t="s">
        <v>35</v>
      </c>
      <c r="E3128" s="6" t="s">
        <v>39</v>
      </c>
      <c r="F3128" s="6" t="s">
        <v>162</v>
      </c>
      <c r="G3128" s="6" t="s">
        <v>257</v>
      </c>
      <c r="H3128" s="6" t="s">
        <v>422</v>
      </c>
      <c r="I3128" s="6" t="s">
        <v>63</v>
      </c>
      <c r="J3128" s="6">
        <v>16.43938657651</v>
      </c>
      <c r="K3128" s="6">
        <v>-95.007935864806001</v>
      </c>
      <c r="L3128" s="6" t="str">
        <f>HYPERLINK("https://maps.google.com/?q=16.4393865765102,-95.007935864805802", "🔗 Ver Mapa")</f>
        <v>🔗 Ver Mapa</v>
      </c>
    </row>
    <row r="3129" spans="1:12" ht="43.5" x14ac:dyDescent="0.35">
      <c r="A3129" s="5" t="s">
        <v>8</v>
      </c>
      <c r="B3129" s="5" t="s">
        <v>16</v>
      </c>
      <c r="C3129" s="5" t="s">
        <v>421</v>
      </c>
      <c r="D3129" s="5" t="s">
        <v>35</v>
      </c>
      <c r="E3129" s="5" t="s">
        <v>39</v>
      </c>
      <c r="F3129" s="5" t="s">
        <v>162</v>
      </c>
      <c r="G3129" s="5" t="s">
        <v>257</v>
      </c>
      <c r="H3129" s="5" t="s">
        <v>422</v>
      </c>
      <c r="I3129" s="5" t="s">
        <v>63</v>
      </c>
      <c r="J3129" s="5">
        <v>16.439412436771001</v>
      </c>
      <c r="K3129" s="5">
        <v>-95.007671722325</v>
      </c>
      <c r="L3129" s="5" t="str">
        <f>HYPERLINK("https://maps.google.com/?q=16.4394124367714,-95.007671722324901", "🔗 Ver Mapa")</f>
        <v>🔗 Ver Mapa</v>
      </c>
    </row>
    <row r="3130" spans="1:12" ht="43.5" x14ac:dyDescent="0.35">
      <c r="A3130" s="6" t="s">
        <v>8</v>
      </c>
      <c r="B3130" s="6" t="s">
        <v>16</v>
      </c>
      <c r="C3130" s="6" t="s">
        <v>421</v>
      </c>
      <c r="D3130" s="6" t="s">
        <v>35</v>
      </c>
      <c r="E3130" s="6" t="s">
        <v>39</v>
      </c>
      <c r="F3130" s="6" t="s">
        <v>162</v>
      </c>
      <c r="G3130" s="6" t="s">
        <v>257</v>
      </c>
      <c r="H3130" s="6" t="s">
        <v>422</v>
      </c>
      <c r="I3130" s="6" t="s">
        <v>63</v>
      </c>
      <c r="J3130" s="6">
        <v>16.439467722860002</v>
      </c>
      <c r="K3130" s="6">
        <v>-95.007870719820005</v>
      </c>
      <c r="L3130" s="6" t="str">
        <f>HYPERLINK("https://maps.google.com/?q=16.4394677228604,-95.007870719819707", "🔗 Ver Mapa")</f>
        <v>🔗 Ver Mapa</v>
      </c>
    </row>
    <row r="3131" spans="1:12" ht="43.5" x14ac:dyDescent="0.35">
      <c r="A3131" s="5" t="s">
        <v>8</v>
      </c>
      <c r="B3131" s="5" t="s">
        <v>16</v>
      </c>
      <c r="C3131" s="5" t="s">
        <v>421</v>
      </c>
      <c r="D3131" s="5" t="s">
        <v>35</v>
      </c>
      <c r="E3131" s="5" t="s">
        <v>39</v>
      </c>
      <c r="F3131" s="5" t="s">
        <v>162</v>
      </c>
      <c r="G3131" s="5" t="s">
        <v>257</v>
      </c>
      <c r="H3131" s="5" t="s">
        <v>422</v>
      </c>
      <c r="I3131" s="5" t="s">
        <v>63</v>
      </c>
      <c r="J3131" s="5">
        <v>16.439531469081</v>
      </c>
      <c r="K3131" s="5">
        <v>-95.027854676890996</v>
      </c>
      <c r="L3131" s="5" t="str">
        <f>HYPERLINK("https://maps.google.com/?q=16.439531469081,-95.027854676890698", "🔗 Ver Mapa")</f>
        <v>🔗 Ver Mapa</v>
      </c>
    </row>
    <row r="3132" spans="1:12" ht="43.5" x14ac:dyDescent="0.35">
      <c r="A3132" s="6" t="s">
        <v>8</v>
      </c>
      <c r="B3132" s="6" t="s">
        <v>16</v>
      </c>
      <c r="C3132" s="6" t="s">
        <v>421</v>
      </c>
      <c r="D3132" s="6" t="s">
        <v>35</v>
      </c>
      <c r="E3132" s="6" t="s">
        <v>39</v>
      </c>
      <c r="F3132" s="6" t="s">
        <v>162</v>
      </c>
      <c r="G3132" s="6" t="s">
        <v>257</v>
      </c>
      <c r="H3132" s="6" t="s">
        <v>422</v>
      </c>
      <c r="I3132" s="6" t="s">
        <v>63</v>
      </c>
      <c r="J3132" s="6">
        <v>16.439562372480999</v>
      </c>
      <c r="K3132" s="6">
        <v>-95.026973148034998</v>
      </c>
      <c r="L3132" s="6" t="str">
        <f>HYPERLINK("https://maps.google.com/?q=16.4395623724812,-95.026973148035395", "🔗 Ver Mapa")</f>
        <v>🔗 Ver Mapa</v>
      </c>
    </row>
    <row r="3133" spans="1:12" ht="43.5" x14ac:dyDescent="0.35">
      <c r="A3133" s="5" t="s">
        <v>8</v>
      </c>
      <c r="B3133" s="5" t="s">
        <v>16</v>
      </c>
      <c r="C3133" s="5" t="s">
        <v>421</v>
      </c>
      <c r="D3133" s="5" t="s">
        <v>35</v>
      </c>
      <c r="E3133" s="5" t="s">
        <v>39</v>
      </c>
      <c r="F3133" s="5" t="s">
        <v>162</v>
      </c>
      <c r="G3133" s="5" t="s">
        <v>257</v>
      </c>
      <c r="H3133" s="5" t="s">
        <v>422</v>
      </c>
      <c r="I3133" s="5" t="s">
        <v>63</v>
      </c>
      <c r="J3133" s="5">
        <v>16.439572855542998</v>
      </c>
      <c r="K3133" s="5">
        <v>-95.027498436149997</v>
      </c>
      <c r="L3133" s="5" t="str">
        <f>HYPERLINK("https://maps.google.com/?q=16.4395728555427,-95.027498436150196", "🔗 Ver Mapa")</f>
        <v>🔗 Ver Mapa</v>
      </c>
    </row>
    <row r="3134" spans="1:12" ht="43.5" x14ac:dyDescent="0.35">
      <c r="A3134" s="6" t="s">
        <v>8</v>
      </c>
      <c r="B3134" s="6" t="s">
        <v>16</v>
      </c>
      <c r="C3134" s="6" t="s">
        <v>421</v>
      </c>
      <c r="D3134" s="6" t="s">
        <v>35</v>
      </c>
      <c r="E3134" s="6" t="s">
        <v>39</v>
      </c>
      <c r="F3134" s="6" t="s">
        <v>162</v>
      </c>
      <c r="G3134" s="6" t="s">
        <v>257</v>
      </c>
      <c r="H3134" s="6" t="s">
        <v>422</v>
      </c>
      <c r="I3134" s="6" t="s">
        <v>63</v>
      </c>
      <c r="J3134" s="6">
        <v>16.439636664355</v>
      </c>
      <c r="K3134" s="6">
        <v>-95.029311438991996</v>
      </c>
      <c r="L3134" s="6" t="str">
        <f>HYPERLINK("https://maps.google.com/?q=16.4396366643548,-95.029311438991598", "🔗 Ver Mapa")</f>
        <v>🔗 Ver Mapa</v>
      </c>
    </row>
    <row r="3135" spans="1:12" ht="43.5" x14ac:dyDescent="0.35">
      <c r="A3135" s="5" t="s">
        <v>8</v>
      </c>
      <c r="B3135" s="5" t="s">
        <v>16</v>
      </c>
      <c r="C3135" s="5" t="s">
        <v>421</v>
      </c>
      <c r="D3135" s="5" t="s">
        <v>35</v>
      </c>
      <c r="E3135" s="5" t="s">
        <v>39</v>
      </c>
      <c r="F3135" s="5" t="s">
        <v>162</v>
      </c>
      <c r="G3135" s="5" t="s">
        <v>257</v>
      </c>
      <c r="H3135" s="5" t="s">
        <v>422</v>
      </c>
      <c r="I3135" s="5" t="s">
        <v>63</v>
      </c>
      <c r="J3135" s="5">
        <v>16.439661033983999</v>
      </c>
      <c r="K3135" s="5">
        <v>-95.022236669839998</v>
      </c>
      <c r="L3135" s="5" t="str">
        <f>HYPERLINK("https://maps.google.com/?q=16.4396610339838,-95.022236669840098", "🔗 Ver Mapa")</f>
        <v>🔗 Ver Mapa</v>
      </c>
    </row>
    <row r="3136" spans="1:12" ht="43.5" x14ac:dyDescent="0.35">
      <c r="A3136" s="6" t="s">
        <v>8</v>
      </c>
      <c r="B3136" s="6" t="s">
        <v>16</v>
      </c>
      <c r="C3136" s="6" t="s">
        <v>421</v>
      </c>
      <c r="D3136" s="6" t="s">
        <v>35</v>
      </c>
      <c r="E3136" s="6" t="s">
        <v>39</v>
      </c>
      <c r="F3136" s="6" t="s">
        <v>162</v>
      </c>
      <c r="G3136" s="6" t="s">
        <v>257</v>
      </c>
      <c r="H3136" s="6" t="s">
        <v>422</v>
      </c>
      <c r="I3136" s="6" t="s">
        <v>63</v>
      </c>
      <c r="J3136" s="6">
        <v>16.439730827104999</v>
      </c>
      <c r="K3136" s="6">
        <v>-95.020693602720002</v>
      </c>
      <c r="L3136" s="6" t="str">
        <f>HYPERLINK("https://maps.google.com/?q=16.4397308271051,-95.020693602720101", "🔗 Ver Mapa")</f>
        <v>🔗 Ver Mapa</v>
      </c>
    </row>
    <row r="3137" spans="1:12" ht="43.5" x14ac:dyDescent="0.35">
      <c r="A3137" s="5" t="s">
        <v>8</v>
      </c>
      <c r="B3137" s="5" t="s">
        <v>16</v>
      </c>
      <c r="C3137" s="5" t="s">
        <v>421</v>
      </c>
      <c r="D3137" s="5" t="s">
        <v>35</v>
      </c>
      <c r="E3137" s="5" t="s">
        <v>39</v>
      </c>
      <c r="F3137" s="5" t="s">
        <v>162</v>
      </c>
      <c r="G3137" s="5" t="s">
        <v>257</v>
      </c>
      <c r="H3137" s="5" t="s">
        <v>422</v>
      </c>
      <c r="I3137" s="5" t="s">
        <v>63</v>
      </c>
      <c r="J3137" s="5">
        <v>16.439903566864</v>
      </c>
      <c r="K3137" s="5">
        <v>-95.029366424279004</v>
      </c>
      <c r="L3137" s="5" t="str">
        <f>HYPERLINK("https://maps.google.com/?q=16.4399035668639,-95.029366424278905", "🔗 Ver Mapa")</f>
        <v>🔗 Ver Mapa</v>
      </c>
    </row>
    <row r="3138" spans="1:12" ht="43.5" x14ac:dyDescent="0.35">
      <c r="A3138" s="6" t="s">
        <v>8</v>
      </c>
      <c r="B3138" s="6" t="s">
        <v>16</v>
      </c>
      <c r="C3138" s="6" t="s">
        <v>421</v>
      </c>
      <c r="D3138" s="6" t="s">
        <v>35</v>
      </c>
      <c r="E3138" s="6" t="s">
        <v>39</v>
      </c>
      <c r="F3138" s="6" t="s">
        <v>162</v>
      </c>
      <c r="G3138" s="6" t="s">
        <v>257</v>
      </c>
      <c r="H3138" s="6" t="s">
        <v>422</v>
      </c>
      <c r="I3138" s="6" t="s">
        <v>63</v>
      </c>
      <c r="J3138" s="6">
        <v>16.439909364409999</v>
      </c>
      <c r="K3138" s="6">
        <v>-95.007817164794005</v>
      </c>
      <c r="L3138" s="6" t="str">
        <f>HYPERLINK("https://maps.google.com/?q=16.4399093644103,-95.007817164794403", "🔗 Ver Mapa")</f>
        <v>🔗 Ver Mapa</v>
      </c>
    </row>
    <row r="3139" spans="1:12" ht="43.5" x14ac:dyDescent="0.35">
      <c r="A3139" s="5" t="s">
        <v>8</v>
      </c>
      <c r="B3139" s="5" t="s">
        <v>16</v>
      </c>
      <c r="C3139" s="5" t="s">
        <v>421</v>
      </c>
      <c r="D3139" s="5" t="s">
        <v>35</v>
      </c>
      <c r="E3139" s="5" t="s">
        <v>39</v>
      </c>
      <c r="F3139" s="5" t="s">
        <v>162</v>
      </c>
      <c r="G3139" s="5" t="s">
        <v>257</v>
      </c>
      <c r="H3139" s="5" t="s">
        <v>422</v>
      </c>
      <c r="I3139" s="5" t="s">
        <v>63</v>
      </c>
      <c r="J3139" s="5">
        <v>16.439944566916999</v>
      </c>
      <c r="K3139" s="5">
        <v>-95.029708741199997</v>
      </c>
      <c r="L3139" s="5" t="str">
        <f>HYPERLINK("https://maps.google.com/?q=16.4399445669173,-95.029708741199698", "🔗 Ver Mapa")</f>
        <v>🔗 Ver Mapa</v>
      </c>
    </row>
    <row r="3140" spans="1:12" ht="43.5" x14ac:dyDescent="0.35">
      <c r="A3140" s="6" t="s">
        <v>8</v>
      </c>
      <c r="B3140" s="6" t="s">
        <v>16</v>
      </c>
      <c r="C3140" s="6" t="s">
        <v>421</v>
      </c>
      <c r="D3140" s="6" t="s">
        <v>35</v>
      </c>
      <c r="E3140" s="6" t="s">
        <v>39</v>
      </c>
      <c r="F3140" s="6" t="s">
        <v>162</v>
      </c>
      <c r="G3140" s="6" t="s">
        <v>257</v>
      </c>
      <c r="H3140" s="6" t="s">
        <v>422</v>
      </c>
      <c r="I3140" s="6" t="s">
        <v>63</v>
      </c>
      <c r="J3140" s="6">
        <v>16.440070022141999</v>
      </c>
      <c r="K3140" s="6">
        <v>-95.007796959057998</v>
      </c>
      <c r="L3140" s="6" t="str">
        <f>HYPERLINK("https://maps.google.com/?q=16.4400700221419,-95.0077969590577", "🔗 Ver Mapa")</f>
        <v>🔗 Ver Mapa</v>
      </c>
    </row>
    <row r="3141" spans="1:12" ht="43.5" x14ac:dyDescent="0.35">
      <c r="A3141" s="5" t="s">
        <v>8</v>
      </c>
      <c r="B3141" s="5" t="s">
        <v>16</v>
      </c>
      <c r="C3141" s="5" t="s">
        <v>421</v>
      </c>
      <c r="D3141" s="5" t="s">
        <v>35</v>
      </c>
      <c r="E3141" s="5" t="s">
        <v>39</v>
      </c>
      <c r="F3141" s="5" t="s">
        <v>162</v>
      </c>
      <c r="G3141" s="5" t="s">
        <v>257</v>
      </c>
      <c r="H3141" s="5" t="s">
        <v>422</v>
      </c>
      <c r="I3141" s="5" t="s">
        <v>63</v>
      </c>
      <c r="J3141" s="5">
        <v>16.440308030000001</v>
      </c>
      <c r="K3141" s="5">
        <v>-95.021821959999997</v>
      </c>
      <c r="L3141" s="5" t="str">
        <f>HYPERLINK("https://maps.google.com/?q=16.44030803,-95.021821959999997", "🔗 Ver Mapa")</f>
        <v>🔗 Ver Mapa</v>
      </c>
    </row>
    <row r="3142" spans="1:12" ht="43.5" x14ac:dyDescent="0.35">
      <c r="A3142" s="6" t="s">
        <v>8</v>
      </c>
      <c r="B3142" s="6" t="s">
        <v>16</v>
      </c>
      <c r="C3142" s="6" t="s">
        <v>421</v>
      </c>
      <c r="D3142" s="6" t="s">
        <v>35</v>
      </c>
      <c r="E3142" s="6" t="s">
        <v>39</v>
      </c>
      <c r="F3142" s="6" t="s">
        <v>162</v>
      </c>
      <c r="G3142" s="6" t="s">
        <v>257</v>
      </c>
      <c r="H3142" s="6" t="s">
        <v>422</v>
      </c>
      <c r="I3142" s="6" t="s">
        <v>63</v>
      </c>
      <c r="J3142" s="6">
        <v>16.44032281614</v>
      </c>
      <c r="K3142" s="6">
        <v>-95.031272654882002</v>
      </c>
      <c r="L3142" s="6" t="str">
        <f>HYPERLINK("https://maps.google.com/?q=16.4403228161402,-95.031272654882301", "🔗 Ver Mapa")</f>
        <v>🔗 Ver Mapa</v>
      </c>
    </row>
    <row r="3143" spans="1:12" ht="43.5" x14ac:dyDescent="0.35">
      <c r="A3143" s="5" t="s">
        <v>8</v>
      </c>
      <c r="B3143" s="5" t="s">
        <v>16</v>
      </c>
      <c r="C3143" s="5" t="s">
        <v>421</v>
      </c>
      <c r="D3143" s="5" t="s">
        <v>35</v>
      </c>
      <c r="E3143" s="5" t="s">
        <v>39</v>
      </c>
      <c r="F3143" s="5" t="s">
        <v>162</v>
      </c>
      <c r="G3143" s="5" t="s">
        <v>257</v>
      </c>
      <c r="H3143" s="5" t="s">
        <v>422</v>
      </c>
      <c r="I3143" s="5" t="s">
        <v>63</v>
      </c>
      <c r="J3143" s="5">
        <v>16.440402375327</v>
      </c>
      <c r="K3143" s="5">
        <v>-95.022001113746995</v>
      </c>
      <c r="L3143" s="5" t="str">
        <f>HYPERLINK("https://maps.google.com/?q=16.4404023753271,-95.022001113746697", "🔗 Ver Mapa")</f>
        <v>🔗 Ver Mapa</v>
      </c>
    </row>
    <row r="3144" spans="1:12" ht="43.5" x14ac:dyDescent="0.35">
      <c r="A3144" s="6" t="s">
        <v>8</v>
      </c>
      <c r="B3144" s="6" t="s">
        <v>16</v>
      </c>
      <c r="C3144" s="6" t="s">
        <v>421</v>
      </c>
      <c r="D3144" s="6" t="s">
        <v>35</v>
      </c>
      <c r="E3144" s="6" t="s">
        <v>39</v>
      </c>
      <c r="F3144" s="6" t="s">
        <v>162</v>
      </c>
      <c r="G3144" s="6" t="s">
        <v>257</v>
      </c>
      <c r="H3144" s="6" t="s">
        <v>422</v>
      </c>
      <c r="I3144" s="6" t="s">
        <v>63</v>
      </c>
      <c r="J3144" s="6">
        <v>16.440727715716999</v>
      </c>
      <c r="K3144" s="6">
        <v>-95.011826547341002</v>
      </c>
      <c r="L3144" s="6" t="str">
        <f>HYPERLINK("https://maps.google.com/?q=16.4407277157173,-95.011826547341002", "🔗 Ver Mapa")</f>
        <v>🔗 Ver Mapa</v>
      </c>
    </row>
    <row r="3145" spans="1:12" ht="43.5" x14ac:dyDescent="0.35">
      <c r="A3145" s="5" t="s">
        <v>8</v>
      </c>
      <c r="B3145" s="5" t="s">
        <v>16</v>
      </c>
      <c r="C3145" s="5" t="s">
        <v>421</v>
      </c>
      <c r="D3145" s="5" t="s">
        <v>35</v>
      </c>
      <c r="E3145" s="5" t="s">
        <v>39</v>
      </c>
      <c r="F3145" s="5" t="s">
        <v>162</v>
      </c>
      <c r="G3145" s="5" t="s">
        <v>257</v>
      </c>
      <c r="H3145" s="5" t="s">
        <v>422</v>
      </c>
      <c r="I3145" s="5" t="s">
        <v>63</v>
      </c>
      <c r="J3145" s="5">
        <v>16.440765586745002</v>
      </c>
      <c r="K3145" s="5">
        <v>-95.011500418525998</v>
      </c>
      <c r="L3145" s="5" t="str">
        <f>HYPERLINK("https://maps.google.com/?q=16.4407655867448,-95.011500418526495", "🔗 Ver Mapa")</f>
        <v>🔗 Ver Mapa</v>
      </c>
    </row>
    <row r="3146" spans="1:12" ht="43.5" x14ac:dyDescent="0.35">
      <c r="A3146" s="6" t="s">
        <v>8</v>
      </c>
      <c r="B3146" s="6" t="s">
        <v>16</v>
      </c>
      <c r="C3146" s="6" t="s">
        <v>421</v>
      </c>
      <c r="D3146" s="6" t="s">
        <v>35</v>
      </c>
      <c r="E3146" s="6" t="s">
        <v>39</v>
      </c>
      <c r="F3146" s="6" t="s">
        <v>162</v>
      </c>
      <c r="G3146" s="6" t="s">
        <v>257</v>
      </c>
      <c r="H3146" s="6" t="s">
        <v>422</v>
      </c>
      <c r="I3146" s="6" t="s">
        <v>63</v>
      </c>
      <c r="J3146" s="6">
        <v>16.440778844972002</v>
      </c>
      <c r="K3146" s="6">
        <v>-95.011984127100007</v>
      </c>
      <c r="L3146" s="6" t="str">
        <f>HYPERLINK("https://maps.google.com/?q=16.4407788449722,-95.011984127100405", "🔗 Ver Mapa")</f>
        <v>🔗 Ver Mapa</v>
      </c>
    </row>
    <row r="3147" spans="1:12" ht="43.5" x14ac:dyDescent="0.35">
      <c r="A3147" s="5" t="s">
        <v>8</v>
      </c>
      <c r="B3147" s="5" t="s">
        <v>16</v>
      </c>
      <c r="C3147" s="5" t="s">
        <v>421</v>
      </c>
      <c r="D3147" s="5" t="s">
        <v>35</v>
      </c>
      <c r="E3147" s="5" t="s">
        <v>39</v>
      </c>
      <c r="F3147" s="5" t="s">
        <v>162</v>
      </c>
      <c r="G3147" s="5" t="s">
        <v>257</v>
      </c>
      <c r="H3147" s="5" t="s">
        <v>422</v>
      </c>
      <c r="I3147" s="5" t="s">
        <v>63</v>
      </c>
      <c r="J3147" s="5">
        <v>16.440804493895001</v>
      </c>
      <c r="K3147" s="5">
        <v>-95.011586592309001</v>
      </c>
      <c r="L3147" s="5" t="str">
        <f>HYPERLINK("https://maps.google.com/?q=16.4408044938951,-95.011586592309101", "🔗 Ver Mapa")</f>
        <v>🔗 Ver Mapa</v>
      </c>
    </row>
    <row r="3148" spans="1:12" ht="43.5" x14ac:dyDescent="0.35">
      <c r="A3148" s="6" t="s">
        <v>8</v>
      </c>
      <c r="B3148" s="6" t="s">
        <v>16</v>
      </c>
      <c r="C3148" s="6" t="s">
        <v>421</v>
      </c>
      <c r="D3148" s="6" t="s">
        <v>35</v>
      </c>
      <c r="E3148" s="6" t="s">
        <v>39</v>
      </c>
      <c r="F3148" s="6" t="s">
        <v>162</v>
      </c>
      <c r="G3148" s="6" t="s">
        <v>257</v>
      </c>
      <c r="H3148" s="6" t="s">
        <v>422</v>
      </c>
      <c r="I3148" s="6" t="s">
        <v>63</v>
      </c>
      <c r="J3148" s="6">
        <v>16.440940037112</v>
      </c>
      <c r="K3148" s="6">
        <v>-95.011618435719001</v>
      </c>
      <c r="L3148" s="6" t="str">
        <f>HYPERLINK("https://maps.google.com/?q=16.4409400371116,-95.011618435719498", "🔗 Ver Mapa")</f>
        <v>🔗 Ver Mapa</v>
      </c>
    </row>
    <row r="3149" spans="1:12" ht="43.5" x14ac:dyDescent="0.35">
      <c r="A3149" s="5" t="s">
        <v>8</v>
      </c>
      <c r="B3149" s="5" t="s">
        <v>16</v>
      </c>
      <c r="C3149" s="5" t="s">
        <v>421</v>
      </c>
      <c r="D3149" s="5" t="s">
        <v>35</v>
      </c>
      <c r="E3149" s="5" t="s">
        <v>39</v>
      </c>
      <c r="F3149" s="5" t="s">
        <v>162</v>
      </c>
      <c r="G3149" s="5" t="s">
        <v>257</v>
      </c>
      <c r="H3149" s="5" t="s">
        <v>422</v>
      </c>
      <c r="I3149" s="5" t="s">
        <v>63</v>
      </c>
      <c r="J3149" s="5">
        <v>16.441472575268001</v>
      </c>
      <c r="K3149" s="5">
        <v>-95.010452111776004</v>
      </c>
      <c r="L3149" s="5" t="str">
        <f>HYPERLINK("https://maps.google.com/?q=16.4414725752683,-95.010452111776402", "🔗 Ver Mapa")</f>
        <v>🔗 Ver Mapa</v>
      </c>
    </row>
    <row r="3150" spans="1:12" ht="43.5" x14ac:dyDescent="0.35">
      <c r="A3150" s="6" t="s">
        <v>8</v>
      </c>
      <c r="B3150" s="6" t="s">
        <v>16</v>
      </c>
      <c r="C3150" s="6" t="s">
        <v>421</v>
      </c>
      <c r="D3150" s="6" t="s">
        <v>35</v>
      </c>
      <c r="E3150" s="6" t="s">
        <v>39</v>
      </c>
      <c r="F3150" s="6" t="s">
        <v>162</v>
      </c>
      <c r="G3150" s="6" t="s">
        <v>257</v>
      </c>
      <c r="H3150" s="6" t="s">
        <v>422</v>
      </c>
      <c r="I3150" s="6" t="s">
        <v>63</v>
      </c>
      <c r="J3150" s="6">
        <v>16.442132266005999</v>
      </c>
      <c r="K3150" s="6">
        <v>-95.021603459763995</v>
      </c>
      <c r="L3150" s="6" t="str">
        <f>HYPERLINK("https://maps.google.com/?q=16.4421322660064,-95.021603459764407", "🔗 Ver Mapa")</f>
        <v>🔗 Ver Mapa</v>
      </c>
    </row>
    <row r="3151" spans="1:12" ht="43.5" x14ac:dyDescent="0.35">
      <c r="A3151" s="5" t="s">
        <v>8</v>
      </c>
      <c r="B3151" s="5" t="s">
        <v>16</v>
      </c>
      <c r="C3151" s="5" t="s">
        <v>421</v>
      </c>
      <c r="D3151" s="5" t="s">
        <v>35</v>
      </c>
      <c r="E3151" s="5" t="s">
        <v>39</v>
      </c>
      <c r="F3151" s="5" t="s">
        <v>162</v>
      </c>
      <c r="G3151" s="5" t="s">
        <v>257</v>
      </c>
      <c r="H3151" s="5" t="s">
        <v>422</v>
      </c>
      <c r="I3151" s="5" t="s">
        <v>63</v>
      </c>
      <c r="J3151" s="5">
        <v>16.44238154</v>
      </c>
      <c r="K3151" s="5">
        <v>-95.032240400000006</v>
      </c>
      <c r="L3151" s="5" t="str">
        <f>HYPERLINK("https://maps.google.com/?q=16.44238154,-95.032240400000006", "🔗 Ver Mapa")</f>
        <v>🔗 Ver Mapa</v>
      </c>
    </row>
    <row r="3152" spans="1:12" ht="43.5" x14ac:dyDescent="0.35">
      <c r="A3152" s="6" t="s">
        <v>8</v>
      </c>
      <c r="B3152" s="6" t="s">
        <v>16</v>
      </c>
      <c r="C3152" s="6" t="s">
        <v>421</v>
      </c>
      <c r="D3152" s="6" t="s">
        <v>35</v>
      </c>
      <c r="E3152" s="6" t="s">
        <v>39</v>
      </c>
      <c r="F3152" s="6" t="s">
        <v>162</v>
      </c>
      <c r="G3152" s="6" t="s">
        <v>257</v>
      </c>
      <c r="H3152" s="6" t="s">
        <v>422</v>
      </c>
      <c r="I3152" s="6" t="s">
        <v>63</v>
      </c>
      <c r="J3152" s="6">
        <v>16.442723695672999</v>
      </c>
      <c r="K3152" s="6">
        <v>-95.021867948215004</v>
      </c>
      <c r="L3152" s="6" t="str">
        <f>HYPERLINK("https://maps.google.com/?q=16.442723695673,-95.021867948215402", "🔗 Ver Mapa")</f>
        <v>🔗 Ver Mapa</v>
      </c>
    </row>
    <row r="3153" spans="1:12" ht="43.5" x14ac:dyDescent="0.35">
      <c r="A3153" s="5" t="s">
        <v>8</v>
      </c>
      <c r="B3153" s="5" t="s">
        <v>16</v>
      </c>
      <c r="C3153" s="5" t="s">
        <v>421</v>
      </c>
      <c r="D3153" s="5" t="s">
        <v>35</v>
      </c>
      <c r="E3153" s="5" t="s">
        <v>39</v>
      </c>
      <c r="F3153" s="5" t="s">
        <v>162</v>
      </c>
      <c r="G3153" s="5" t="s">
        <v>257</v>
      </c>
      <c r="H3153" s="5" t="s">
        <v>422</v>
      </c>
      <c r="I3153" s="5" t="s">
        <v>63</v>
      </c>
      <c r="J3153" s="5">
        <v>16.443255249147999</v>
      </c>
      <c r="K3153" s="5">
        <v>-95.032238825868006</v>
      </c>
      <c r="L3153" s="5" t="str">
        <f>HYPERLINK("https://maps.google.com/?q=16.4432552491477,-95.032238825868106", "🔗 Ver Mapa")</f>
        <v>🔗 Ver Mapa</v>
      </c>
    </row>
    <row r="3154" spans="1:12" ht="43.5" x14ac:dyDescent="0.35">
      <c r="A3154" s="6" t="s">
        <v>8</v>
      </c>
      <c r="B3154" s="6" t="s">
        <v>16</v>
      </c>
      <c r="C3154" s="6" t="s">
        <v>421</v>
      </c>
      <c r="D3154" s="6" t="s">
        <v>35</v>
      </c>
      <c r="E3154" s="6" t="s">
        <v>39</v>
      </c>
      <c r="F3154" s="6" t="s">
        <v>162</v>
      </c>
      <c r="G3154" s="6" t="s">
        <v>257</v>
      </c>
      <c r="H3154" s="6" t="s">
        <v>422</v>
      </c>
      <c r="I3154" s="6" t="s">
        <v>63</v>
      </c>
      <c r="J3154" s="6">
        <v>16.443467099999999</v>
      </c>
      <c r="K3154" s="6">
        <v>-95.033124939999993</v>
      </c>
      <c r="L3154" s="6" t="str">
        <f>HYPERLINK("https://maps.google.com/?q=16.4434671,-95.033124939999993", "🔗 Ver Mapa")</f>
        <v>🔗 Ver Mapa</v>
      </c>
    </row>
    <row r="3155" spans="1:12" ht="43.5" x14ac:dyDescent="0.35">
      <c r="A3155" s="5" t="s">
        <v>8</v>
      </c>
      <c r="B3155" s="5" t="s">
        <v>16</v>
      </c>
      <c r="C3155" s="5" t="s">
        <v>421</v>
      </c>
      <c r="D3155" s="5" t="s">
        <v>35</v>
      </c>
      <c r="E3155" s="5" t="s">
        <v>39</v>
      </c>
      <c r="F3155" s="5" t="s">
        <v>162</v>
      </c>
      <c r="G3155" s="5" t="s">
        <v>257</v>
      </c>
      <c r="H3155" s="5" t="s">
        <v>422</v>
      </c>
      <c r="I3155" s="5" t="s">
        <v>63</v>
      </c>
      <c r="J3155" s="5">
        <v>16.443605465529</v>
      </c>
      <c r="K3155" s="5">
        <v>-95.006180815709001</v>
      </c>
      <c r="L3155" s="5" t="str">
        <f>HYPERLINK("https://maps.google.com/?q=16.4436054655287,-95.006180815709499", "🔗 Ver Mapa")</f>
        <v>🔗 Ver Mapa</v>
      </c>
    </row>
    <row r="3156" spans="1:12" ht="43.5" x14ac:dyDescent="0.35">
      <c r="A3156" s="6" t="s">
        <v>8</v>
      </c>
      <c r="B3156" s="6" t="s">
        <v>16</v>
      </c>
      <c r="C3156" s="6" t="s">
        <v>421</v>
      </c>
      <c r="D3156" s="6" t="s">
        <v>35</v>
      </c>
      <c r="E3156" s="6" t="s">
        <v>39</v>
      </c>
      <c r="F3156" s="6" t="s">
        <v>162</v>
      </c>
      <c r="G3156" s="6" t="s">
        <v>257</v>
      </c>
      <c r="H3156" s="6" t="s">
        <v>422</v>
      </c>
      <c r="I3156" s="6" t="s">
        <v>63</v>
      </c>
      <c r="J3156" s="6">
        <v>16.443696952835001</v>
      </c>
      <c r="K3156" s="6">
        <v>-95.006201267552996</v>
      </c>
      <c r="L3156" s="6" t="str">
        <f>HYPERLINK("https://maps.google.com/?q=16.4436969528345,-95.006201267553195", "🔗 Ver Mapa")</f>
        <v>🔗 Ver Mapa</v>
      </c>
    </row>
    <row r="3157" spans="1:12" ht="43.5" x14ac:dyDescent="0.35">
      <c r="A3157" s="5" t="s">
        <v>8</v>
      </c>
      <c r="B3157" s="5" t="s">
        <v>16</v>
      </c>
      <c r="C3157" s="5" t="s">
        <v>421</v>
      </c>
      <c r="D3157" s="5" t="s">
        <v>35</v>
      </c>
      <c r="E3157" s="5" t="s">
        <v>39</v>
      </c>
      <c r="F3157" s="5" t="s">
        <v>162</v>
      </c>
      <c r="G3157" s="5" t="s">
        <v>257</v>
      </c>
      <c r="H3157" s="5" t="s">
        <v>422</v>
      </c>
      <c r="I3157" s="5" t="s">
        <v>63</v>
      </c>
      <c r="J3157" s="5">
        <v>16.443941179999999</v>
      </c>
      <c r="K3157" s="5">
        <v>-95.033478009999996</v>
      </c>
      <c r="L3157" s="5" t="str">
        <f>HYPERLINK("https://maps.google.com/?q=16.44394118,-95.033478009999996", "🔗 Ver Mapa")</f>
        <v>🔗 Ver Mapa</v>
      </c>
    </row>
    <row r="3158" spans="1:12" ht="43.5" x14ac:dyDescent="0.35">
      <c r="A3158" s="6" t="s">
        <v>8</v>
      </c>
      <c r="B3158" s="6" t="s">
        <v>16</v>
      </c>
      <c r="C3158" s="6" t="s">
        <v>421</v>
      </c>
      <c r="D3158" s="6" t="s">
        <v>35</v>
      </c>
      <c r="E3158" s="6" t="s">
        <v>39</v>
      </c>
      <c r="F3158" s="6" t="s">
        <v>162</v>
      </c>
      <c r="G3158" s="6" t="s">
        <v>257</v>
      </c>
      <c r="H3158" s="6" t="s">
        <v>422</v>
      </c>
      <c r="I3158" s="6" t="s">
        <v>63</v>
      </c>
      <c r="J3158" s="6">
        <v>16.444641699287999</v>
      </c>
      <c r="K3158" s="6">
        <v>-95.018159928917001</v>
      </c>
      <c r="L3158" s="6" t="str">
        <f>HYPERLINK("https://maps.google.com/?q=16.4446416992879,-95.0181599289171", "🔗 Ver Mapa")</f>
        <v>🔗 Ver Mapa</v>
      </c>
    </row>
    <row r="3159" spans="1:12" ht="43.5" x14ac:dyDescent="0.35">
      <c r="A3159" s="5" t="s">
        <v>8</v>
      </c>
      <c r="B3159" s="5" t="s">
        <v>16</v>
      </c>
      <c r="C3159" s="5" t="s">
        <v>421</v>
      </c>
      <c r="D3159" s="5" t="s">
        <v>35</v>
      </c>
      <c r="E3159" s="5" t="s">
        <v>39</v>
      </c>
      <c r="F3159" s="5" t="s">
        <v>162</v>
      </c>
      <c r="G3159" s="5" t="s">
        <v>257</v>
      </c>
      <c r="H3159" s="5" t="s">
        <v>422</v>
      </c>
      <c r="I3159" s="5" t="s">
        <v>63</v>
      </c>
      <c r="J3159" s="5">
        <v>16.444877971257</v>
      </c>
      <c r="K3159" s="5">
        <v>-95.021831434579994</v>
      </c>
      <c r="L3159" s="5" t="str">
        <f>HYPERLINK("https://maps.google.com/?q=16.4448779712568,-95.021831434579695", "🔗 Ver Mapa")</f>
        <v>🔗 Ver Mapa</v>
      </c>
    </row>
    <row r="3160" spans="1:12" ht="43.5" x14ac:dyDescent="0.35">
      <c r="A3160" s="6" t="s">
        <v>8</v>
      </c>
      <c r="B3160" s="6" t="s">
        <v>16</v>
      </c>
      <c r="C3160" s="6" t="s">
        <v>421</v>
      </c>
      <c r="D3160" s="6" t="s">
        <v>35</v>
      </c>
      <c r="E3160" s="6" t="s">
        <v>39</v>
      </c>
      <c r="F3160" s="6" t="s">
        <v>162</v>
      </c>
      <c r="G3160" s="6" t="s">
        <v>257</v>
      </c>
      <c r="H3160" s="6" t="s">
        <v>422</v>
      </c>
      <c r="I3160" s="6" t="s">
        <v>63</v>
      </c>
      <c r="J3160" s="6">
        <v>16.4449945</v>
      </c>
      <c r="K3160" s="6">
        <v>-95.022053769999999</v>
      </c>
      <c r="L3160" s="6" t="str">
        <f>HYPERLINK("https://maps.google.com/?q=16.4449945,-95.022053769999999", "🔗 Ver Mapa")</f>
        <v>🔗 Ver Mapa</v>
      </c>
    </row>
    <row r="3161" spans="1:12" ht="43.5" x14ac:dyDescent="0.35">
      <c r="A3161" s="5" t="s">
        <v>8</v>
      </c>
      <c r="B3161" s="5" t="s">
        <v>16</v>
      </c>
      <c r="C3161" s="5" t="s">
        <v>421</v>
      </c>
      <c r="D3161" s="5" t="s">
        <v>35</v>
      </c>
      <c r="E3161" s="5" t="s">
        <v>39</v>
      </c>
      <c r="F3161" s="5" t="s">
        <v>162</v>
      </c>
      <c r="G3161" s="5" t="s">
        <v>257</v>
      </c>
      <c r="H3161" s="5" t="s">
        <v>422</v>
      </c>
      <c r="I3161" s="5" t="s">
        <v>63</v>
      </c>
      <c r="J3161" s="5">
        <v>16.446064</v>
      </c>
      <c r="K3161" s="5">
        <v>-95.022199610000001</v>
      </c>
      <c r="L3161" s="5" t="str">
        <f>HYPERLINK("https://maps.google.com/?q=16.446064,-95.022199610000001", "🔗 Ver Mapa")</f>
        <v>🔗 Ver Mapa</v>
      </c>
    </row>
    <row r="3162" spans="1:12" ht="43.5" x14ac:dyDescent="0.35">
      <c r="A3162" s="6" t="s">
        <v>8</v>
      </c>
      <c r="B3162" s="6" t="s">
        <v>16</v>
      </c>
      <c r="C3162" s="6" t="s">
        <v>421</v>
      </c>
      <c r="D3162" s="6" t="s">
        <v>35</v>
      </c>
      <c r="E3162" s="6" t="s">
        <v>39</v>
      </c>
      <c r="F3162" s="6" t="s">
        <v>162</v>
      </c>
      <c r="G3162" s="6" t="s">
        <v>257</v>
      </c>
      <c r="H3162" s="6" t="s">
        <v>422</v>
      </c>
      <c r="I3162" s="6" t="s">
        <v>63</v>
      </c>
      <c r="J3162" s="6">
        <v>16.446315197181001</v>
      </c>
      <c r="K3162" s="6">
        <v>-95.022417191423003</v>
      </c>
      <c r="L3162" s="6" t="str">
        <f>HYPERLINK("https://maps.google.com/?q=16.4463151971812,-95.022417191423102", "🔗 Ver Mapa")</f>
        <v>🔗 Ver Mapa</v>
      </c>
    </row>
    <row r="3163" spans="1:12" ht="43.5" x14ac:dyDescent="0.35">
      <c r="A3163" s="5" t="s">
        <v>8</v>
      </c>
      <c r="B3163" s="5" t="s">
        <v>16</v>
      </c>
      <c r="C3163" s="5" t="s">
        <v>421</v>
      </c>
      <c r="D3163" s="5" t="s">
        <v>35</v>
      </c>
      <c r="E3163" s="5" t="s">
        <v>39</v>
      </c>
      <c r="F3163" s="5" t="s">
        <v>162</v>
      </c>
      <c r="G3163" s="5" t="s">
        <v>257</v>
      </c>
      <c r="H3163" s="5" t="s">
        <v>422</v>
      </c>
      <c r="I3163" s="5" t="s">
        <v>63</v>
      </c>
      <c r="J3163" s="5">
        <v>16.448061403612002</v>
      </c>
      <c r="K3163" s="5">
        <v>-95.017834225423002</v>
      </c>
      <c r="L3163" s="5" t="str">
        <f>HYPERLINK("https://maps.google.com/?q=16.4480614036117,-95.017834225422803", "🔗 Ver Mapa")</f>
        <v>🔗 Ver Mapa</v>
      </c>
    </row>
    <row r="3164" spans="1:12" ht="43.5" x14ac:dyDescent="0.35">
      <c r="A3164" s="6" t="s">
        <v>8</v>
      </c>
      <c r="B3164" s="6" t="s">
        <v>16</v>
      </c>
      <c r="C3164" s="6" t="s">
        <v>421</v>
      </c>
      <c r="D3164" s="6" t="s">
        <v>35</v>
      </c>
      <c r="E3164" s="6" t="s">
        <v>39</v>
      </c>
      <c r="F3164" s="6" t="s">
        <v>162</v>
      </c>
      <c r="G3164" s="6" t="s">
        <v>257</v>
      </c>
      <c r="H3164" s="6" t="s">
        <v>422</v>
      </c>
      <c r="I3164" s="6" t="s">
        <v>63</v>
      </c>
      <c r="J3164" s="6">
        <v>16.448339069288</v>
      </c>
      <c r="K3164" s="6">
        <v>-95.019759386559002</v>
      </c>
      <c r="L3164" s="6" t="str">
        <f>HYPERLINK("https://maps.google.com/?q=16.4483390692883,-95.019759386559201", "🔗 Ver Mapa")</f>
        <v>🔗 Ver Mapa</v>
      </c>
    </row>
    <row r="3165" spans="1:12" ht="43.5" x14ac:dyDescent="0.35">
      <c r="A3165" s="5" t="s">
        <v>8</v>
      </c>
      <c r="B3165" s="5" t="s">
        <v>16</v>
      </c>
      <c r="C3165" s="5" t="s">
        <v>421</v>
      </c>
      <c r="D3165" s="5" t="s">
        <v>35</v>
      </c>
      <c r="E3165" s="5" t="s">
        <v>39</v>
      </c>
      <c r="F3165" s="5" t="s">
        <v>162</v>
      </c>
      <c r="G3165" s="5" t="s">
        <v>257</v>
      </c>
      <c r="H3165" s="5" t="s">
        <v>422</v>
      </c>
      <c r="I3165" s="5" t="s">
        <v>63</v>
      </c>
      <c r="J3165" s="5">
        <v>16.448517444328999</v>
      </c>
      <c r="K3165" s="5">
        <v>-95.006155676386001</v>
      </c>
      <c r="L3165" s="5" t="str">
        <f>HYPERLINK("https://maps.google.com/?q=16.4485174443291,-95.006155676386001", "🔗 Ver Mapa")</f>
        <v>🔗 Ver Mapa</v>
      </c>
    </row>
    <row r="3166" spans="1:12" ht="43.5" x14ac:dyDescent="0.35">
      <c r="A3166" s="6" t="s">
        <v>8</v>
      </c>
      <c r="B3166" s="6" t="s">
        <v>16</v>
      </c>
      <c r="C3166" s="6" t="s">
        <v>421</v>
      </c>
      <c r="D3166" s="6" t="s">
        <v>35</v>
      </c>
      <c r="E3166" s="6" t="s">
        <v>39</v>
      </c>
      <c r="F3166" s="6" t="s">
        <v>162</v>
      </c>
      <c r="G3166" s="6" t="s">
        <v>257</v>
      </c>
      <c r="H3166" s="6" t="s">
        <v>422</v>
      </c>
      <c r="I3166" s="6" t="s">
        <v>63</v>
      </c>
      <c r="J3166" s="6">
        <v>16.449023881496</v>
      </c>
      <c r="K3166" s="6">
        <v>-95.019370492697007</v>
      </c>
      <c r="L3166" s="6" t="str">
        <f>HYPERLINK("https://maps.google.com/?q=16.4490238814961,-95.019370492696893", "🔗 Ver Mapa")</f>
        <v>🔗 Ver Mapa</v>
      </c>
    </row>
    <row r="3167" spans="1:12" ht="43.5" x14ac:dyDescent="0.35">
      <c r="A3167" s="5" t="s">
        <v>8</v>
      </c>
      <c r="B3167" s="5" t="s">
        <v>16</v>
      </c>
      <c r="C3167" s="5" t="s">
        <v>421</v>
      </c>
      <c r="D3167" s="5" t="s">
        <v>35</v>
      </c>
      <c r="E3167" s="5" t="s">
        <v>39</v>
      </c>
      <c r="F3167" s="5" t="s">
        <v>162</v>
      </c>
      <c r="G3167" s="5" t="s">
        <v>257</v>
      </c>
      <c r="H3167" s="5" t="s">
        <v>422</v>
      </c>
      <c r="I3167" s="5" t="s">
        <v>63</v>
      </c>
      <c r="J3167" s="5">
        <v>16.449055246771</v>
      </c>
      <c r="K3167" s="5">
        <v>-95.018039804723003</v>
      </c>
      <c r="L3167" s="5" t="str">
        <f>HYPERLINK("https://maps.google.com/?q=16.4490552467712,-95.018039804722605", "🔗 Ver Mapa")</f>
        <v>🔗 Ver Mapa</v>
      </c>
    </row>
    <row r="3168" spans="1:12" ht="43.5" x14ac:dyDescent="0.35">
      <c r="A3168" s="6" t="s">
        <v>8</v>
      </c>
      <c r="B3168" s="6" t="s">
        <v>16</v>
      </c>
      <c r="C3168" s="6" t="s">
        <v>421</v>
      </c>
      <c r="D3168" s="6" t="s">
        <v>35</v>
      </c>
      <c r="E3168" s="6" t="s">
        <v>39</v>
      </c>
      <c r="F3168" s="6" t="s">
        <v>162</v>
      </c>
      <c r="G3168" s="6" t="s">
        <v>257</v>
      </c>
      <c r="H3168" s="6" t="s">
        <v>422</v>
      </c>
      <c r="I3168" s="6" t="s">
        <v>63</v>
      </c>
      <c r="J3168" s="6">
        <v>16.449339054683001</v>
      </c>
      <c r="K3168" s="6">
        <v>-95.007110034682</v>
      </c>
      <c r="L3168" s="6" t="str">
        <f>HYPERLINK("https://maps.google.com/?q=16.4493390546831,-95.007110034681801", "🔗 Ver Mapa")</f>
        <v>🔗 Ver Mapa</v>
      </c>
    </row>
    <row r="3169" spans="1:12" ht="43.5" x14ac:dyDescent="0.35">
      <c r="A3169" s="5" t="s">
        <v>8</v>
      </c>
      <c r="B3169" s="5" t="s">
        <v>16</v>
      </c>
      <c r="C3169" s="5" t="s">
        <v>421</v>
      </c>
      <c r="D3169" s="5" t="s">
        <v>35</v>
      </c>
      <c r="E3169" s="5" t="s">
        <v>39</v>
      </c>
      <c r="F3169" s="5" t="s">
        <v>162</v>
      </c>
      <c r="G3169" s="5" t="s">
        <v>257</v>
      </c>
      <c r="H3169" s="5" t="s">
        <v>422</v>
      </c>
      <c r="I3169" s="5" t="s">
        <v>63</v>
      </c>
      <c r="J3169" s="5">
        <v>16.449481884152998</v>
      </c>
      <c r="K3169" s="5">
        <v>-95.019318169486993</v>
      </c>
      <c r="L3169" s="5" t="str">
        <f>HYPERLINK("https://maps.google.com/?q=16.4494818841527,-95.019318169487406", "🔗 Ver Mapa")</f>
        <v>🔗 Ver Mapa</v>
      </c>
    </row>
    <row r="3170" spans="1:12" ht="43.5" x14ac:dyDescent="0.35">
      <c r="A3170" s="6" t="s">
        <v>8</v>
      </c>
      <c r="B3170" s="6" t="s">
        <v>16</v>
      </c>
      <c r="C3170" s="6" t="s">
        <v>421</v>
      </c>
      <c r="D3170" s="6" t="s">
        <v>35</v>
      </c>
      <c r="E3170" s="6" t="s">
        <v>39</v>
      </c>
      <c r="F3170" s="6" t="s">
        <v>162</v>
      </c>
      <c r="G3170" s="6" t="s">
        <v>257</v>
      </c>
      <c r="H3170" s="6" t="s">
        <v>422</v>
      </c>
      <c r="I3170" s="6" t="s">
        <v>63</v>
      </c>
      <c r="J3170" s="6">
        <v>16.449685427218</v>
      </c>
      <c r="K3170" s="6">
        <v>-95.019346332680996</v>
      </c>
      <c r="L3170" s="6" t="str">
        <f>HYPERLINK("https://maps.google.com/?q=16.449685427218,-95.019346332680598", "🔗 Ver Mapa")</f>
        <v>🔗 Ver Mapa</v>
      </c>
    </row>
    <row r="3171" spans="1:12" ht="43.5" x14ac:dyDescent="0.35">
      <c r="A3171" s="5" t="s">
        <v>8</v>
      </c>
      <c r="B3171" s="5" t="s">
        <v>16</v>
      </c>
      <c r="C3171" s="5" t="s">
        <v>421</v>
      </c>
      <c r="D3171" s="5" t="s">
        <v>35</v>
      </c>
      <c r="E3171" s="5" t="s">
        <v>39</v>
      </c>
      <c r="F3171" s="5" t="s">
        <v>162</v>
      </c>
      <c r="G3171" s="5" t="s">
        <v>257</v>
      </c>
      <c r="H3171" s="5" t="s">
        <v>422</v>
      </c>
      <c r="I3171" s="5" t="s">
        <v>63</v>
      </c>
      <c r="J3171" s="5">
        <v>16.450471482505002</v>
      </c>
      <c r="K3171" s="5">
        <v>-95.021432318280006</v>
      </c>
      <c r="L3171" s="5" t="str">
        <f>HYPERLINK("https://maps.google.com/?q=16.4504714825054,-95.021432318279807", "🔗 Ver Mapa")</f>
        <v>🔗 Ver Mapa</v>
      </c>
    </row>
    <row r="3172" spans="1:12" ht="43.5" x14ac:dyDescent="0.35">
      <c r="A3172" s="6" t="s">
        <v>8</v>
      </c>
      <c r="B3172" s="6" t="s">
        <v>16</v>
      </c>
      <c r="C3172" s="6" t="s">
        <v>421</v>
      </c>
      <c r="D3172" s="6" t="s">
        <v>35</v>
      </c>
      <c r="E3172" s="6" t="s">
        <v>39</v>
      </c>
      <c r="F3172" s="6" t="s">
        <v>162</v>
      </c>
      <c r="G3172" s="6" t="s">
        <v>257</v>
      </c>
      <c r="H3172" s="6" t="s">
        <v>422</v>
      </c>
      <c r="I3172" s="6" t="s">
        <v>63</v>
      </c>
      <c r="J3172" s="6">
        <v>16.451233113453998</v>
      </c>
      <c r="K3172" s="6">
        <v>-95.030563183387002</v>
      </c>
      <c r="L3172" s="6" t="str">
        <f>HYPERLINK("https://maps.google.com/?q=16.4512331134537,-95.030563183386604", "🔗 Ver Mapa")</f>
        <v>🔗 Ver Mapa</v>
      </c>
    </row>
    <row r="3173" spans="1:12" ht="43.5" x14ac:dyDescent="0.35">
      <c r="A3173" s="5" t="s">
        <v>8</v>
      </c>
      <c r="B3173" s="5" t="s">
        <v>16</v>
      </c>
      <c r="C3173" s="5" t="s">
        <v>421</v>
      </c>
      <c r="D3173" s="5" t="s">
        <v>35</v>
      </c>
      <c r="E3173" s="5" t="s">
        <v>39</v>
      </c>
      <c r="F3173" s="5" t="s">
        <v>162</v>
      </c>
      <c r="G3173" s="5" t="s">
        <v>257</v>
      </c>
      <c r="H3173" s="5" t="s">
        <v>422</v>
      </c>
      <c r="I3173" s="5" t="s">
        <v>63</v>
      </c>
      <c r="J3173" s="5">
        <v>16.451557650068999</v>
      </c>
      <c r="K3173" s="5">
        <v>-95.017465429599994</v>
      </c>
      <c r="L3173" s="5" t="str">
        <f>HYPERLINK("https://maps.google.com/?q=16.451557650069,-95.017465429600094", "🔗 Ver Mapa")</f>
        <v>🔗 Ver Mapa</v>
      </c>
    </row>
    <row r="3174" spans="1:12" ht="43.5" x14ac:dyDescent="0.35">
      <c r="A3174" s="6" t="s">
        <v>8</v>
      </c>
      <c r="B3174" s="6" t="s">
        <v>16</v>
      </c>
      <c r="C3174" s="6" t="s">
        <v>421</v>
      </c>
      <c r="D3174" s="6" t="s">
        <v>35</v>
      </c>
      <c r="E3174" s="6" t="s">
        <v>39</v>
      </c>
      <c r="F3174" s="6" t="s">
        <v>162</v>
      </c>
      <c r="G3174" s="6" t="s">
        <v>257</v>
      </c>
      <c r="H3174" s="6" t="s">
        <v>422</v>
      </c>
      <c r="I3174" s="6" t="s">
        <v>63</v>
      </c>
      <c r="J3174" s="6">
        <v>16.452456440342001</v>
      </c>
      <c r="K3174" s="6">
        <v>-95.008818882200003</v>
      </c>
      <c r="L3174" s="6" t="str">
        <f>HYPERLINK("https://maps.google.com/?q=16.4524564403424,-95.008818882200302", "🔗 Ver Mapa")</f>
        <v>🔗 Ver Mapa</v>
      </c>
    </row>
    <row r="3175" spans="1:12" ht="43.5" x14ac:dyDescent="0.35">
      <c r="A3175" s="5" t="s">
        <v>8</v>
      </c>
      <c r="B3175" s="5" t="s">
        <v>16</v>
      </c>
      <c r="C3175" s="5" t="s">
        <v>421</v>
      </c>
      <c r="D3175" s="5" t="s">
        <v>35</v>
      </c>
      <c r="E3175" s="5" t="s">
        <v>39</v>
      </c>
      <c r="F3175" s="5" t="s">
        <v>162</v>
      </c>
      <c r="G3175" s="5" t="s">
        <v>257</v>
      </c>
      <c r="H3175" s="5" t="s">
        <v>422</v>
      </c>
      <c r="I3175" s="5" t="s">
        <v>63</v>
      </c>
      <c r="J3175" s="5">
        <v>16.453067695672001</v>
      </c>
      <c r="K3175" s="5">
        <v>-95.019753603314001</v>
      </c>
      <c r="L3175" s="5" t="str">
        <f>HYPERLINK("https://maps.google.com/?q=16.4530676956717,-95.019753603313504", "🔗 Ver Mapa")</f>
        <v>🔗 Ver Mapa</v>
      </c>
    </row>
    <row r="3176" spans="1:12" ht="43.5" x14ac:dyDescent="0.35">
      <c r="A3176" s="6" t="s">
        <v>8</v>
      </c>
      <c r="B3176" s="6" t="s">
        <v>16</v>
      </c>
      <c r="C3176" s="6" t="s">
        <v>421</v>
      </c>
      <c r="D3176" s="6" t="s">
        <v>35</v>
      </c>
      <c r="E3176" s="6" t="s">
        <v>39</v>
      </c>
      <c r="F3176" s="6" t="s">
        <v>162</v>
      </c>
      <c r="G3176" s="6" t="s">
        <v>257</v>
      </c>
      <c r="H3176" s="6" t="s">
        <v>422</v>
      </c>
      <c r="I3176" s="6" t="s">
        <v>63</v>
      </c>
      <c r="J3176" s="6">
        <v>16.455645427242001</v>
      </c>
      <c r="K3176" s="6">
        <v>-95.015482266947998</v>
      </c>
      <c r="L3176" s="6" t="str">
        <f>HYPERLINK("https://maps.google.com/?q=16.4556454272422,-95.015482266948098", "🔗 Ver Mapa")</f>
        <v>🔗 Ver Mapa</v>
      </c>
    </row>
    <row r="3177" spans="1:12" ht="43.5" x14ac:dyDescent="0.35">
      <c r="A3177" s="5" t="s">
        <v>8</v>
      </c>
      <c r="B3177" s="5" t="s">
        <v>16</v>
      </c>
      <c r="C3177" s="5" t="s">
        <v>421</v>
      </c>
      <c r="D3177" s="5" t="s">
        <v>35</v>
      </c>
      <c r="E3177" s="5" t="s">
        <v>39</v>
      </c>
      <c r="F3177" s="5" t="s">
        <v>162</v>
      </c>
      <c r="G3177" s="5" t="s">
        <v>257</v>
      </c>
      <c r="H3177" s="5" t="s">
        <v>422</v>
      </c>
      <c r="I3177" s="5" t="s">
        <v>63</v>
      </c>
      <c r="J3177" s="5">
        <v>16.455869894229</v>
      </c>
      <c r="K3177" s="5">
        <v>-95.015170893410996</v>
      </c>
      <c r="L3177" s="5" t="str">
        <f>HYPERLINK("https://maps.google.com/?q=16.4558698942289,-95.015170893410698", "🔗 Ver Mapa")</f>
        <v>🔗 Ver Mapa</v>
      </c>
    </row>
    <row r="3178" spans="1:12" ht="43.5" x14ac:dyDescent="0.35">
      <c r="A3178" s="6" t="s">
        <v>8</v>
      </c>
      <c r="B3178" s="6" t="s">
        <v>16</v>
      </c>
      <c r="C3178" s="6" t="s">
        <v>421</v>
      </c>
      <c r="D3178" s="6" t="s">
        <v>35</v>
      </c>
      <c r="E3178" s="6" t="s">
        <v>39</v>
      </c>
      <c r="F3178" s="6" t="s">
        <v>162</v>
      </c>
      <c r="G3178" s="6" t="s">
        <v>257</v>
      </c>
      <c r="H3178" s="6" t="s">
        <v>422</v>
      </c>
      <c r="I3178" s="6" t="s">
        <v>63</v>
      </c>
      <c r="J3178" s="6">
        <v>16.456183661952</v>
      </c>
      <c r="K3178" s="6">
        <v>-95.014828444534004</v>
      </c>
      <c r="L3178" s="6" t="str">
        <f>HYPERLINK("https://maps.google.com/?q=16.456183661952,-95.014828444533507", "🔗 Ver Mapa")</f>
        <v>🔗 Ver Mapa</v>
      </c>
    </row>
    <row r="3179" spans="1:12" ht="43.5" x14ac:dyDescent="0.35">
      <c r="A3179" s="5" t="s">
        <v>8</v>
      </c>
      <c r="B3179" s="5" t="s">
        <v>16</v>
      </c>
      <c r="C3179" s="5" t="s">
        <v>421</v>
      </c>
      <c r="D3179" s="5" t="s">
        <v>35</v>
      </c>
      <c r="E3179" s="5" t="s">
        <v>39</v>
      </c>
      <c r="F3179" s="5" t="s">
        <v>162</v>
      </c>
      <c r="G3179" s="5" t="s">
        <v>257</v>
      </c>
      <c r="H3179" s="5" t="s">
        <v>422</v>
      </c>
      <c r="I3179" s="5" t="s">
        <v>63</v>
      </c>
      <c r="J3179" s="5">
        <v>16.456916669999998</v>
      </c>
      <c r="K3179" s="5">
        <v>-95.019933010000003</v>
      </c>
      <c r="L3179" s="5" t="str">
        <f>HYPERLINK("https://maps.google.com/?q=16.45691667,-95.019933010000003", "🔗 Ver Mapa")</f>
        <v>🔗 Ver Mapa</v>
      </c>
    </row>
    <row r="3180" spans="1:12" ht="43.5" x14ac:dyDescent="0.35">
      <c r="A3180" s="6" t="s">
        <v>8</v>
      </c>
      <c r="B3180" s="6" t="s">
        <v>16</v>
      </c>
      <c r="C3180" s="6" t="s">
        <v>421</v>
      </c>
      <c r="D3180" s="6" t="s">
        <v>35</v>
      </c>
      <c r="E3180" s="6" t="s">
        <v>39</v>
      </c>
      <c r="F3180" s="6" t="s">
        <v>162</v>
      </c>
      <c r="G3180" s="6" t="s">
        <v>257</v>
      </c>
      <c r="H3180" s="6" t="s">
        <v>422</v>
      </c>
      <c r="I3180" s="6" t="s">
        <v>63</v>
      </c>
      <c r="J3180" s="6">
        <v>16.457230161057002</v>
      </c>
      <c r="K3180" s="6">
        <v>-95.015033931255999</v>
      </c>
      <c r="L3180" s="6" t="str">
        <f>HYPERLINK("https://maps.google.com/?q=16.4572301610575,-95.0150339312558", "🔗 Ver Mapa")</f>
        <v>🔗 Ver Mapa</v>
      </c>
    </row>
    <row r="3181" spans="1:12" ht="43.5" x14ac:dyDescent="0.35">
      <c r="A3181" s="5" t="s">
        <v>8</v>
      </c>
      <c r="B3181" s="5" t="s">
        <v>16</v>
      </c>
      <c r="C3181" s="5" t="s">
        <v>421</v>
      </c>
      <c r="D3181" s="5" t="s">
        <v>35</v>
      </c>
      <c r="E3181" s="5" t="s">
        <v>39</v>
      </c>
      <c r="F3181" s="5" t="s">
        <v>162</v>
      </c>
      <c r="G3181" s="5" t="s">
        <v>257</v>
      </c>
      <c r="H3181" s="5" t="s">
        <v>422</v>
      </c>
      <c r="I3181" s="5" t="s">
        <v>63</v>
      </c>
      <c r="J3181" s="5">
        <v>16.458245698397</v>
      </c>
      <c r="K3181" s="5">
        <v>-95.02525755536</v>
      </c>
      <c r="L3181" s="5" t="str">
        <f>HYPERLINK("https://maps.google.com/?q=16.4582456983973,-95.025257555360398", "🔗 Ver Mapa")</f>
        <v>🔗 Ver Mapa</v>
      </c>
    </row>
    <row r="3182" spans="1:12" ht="43.5" x14ac:dyDescent="0.35">
      <c r="A3182" s="6" t="s">
        <v>8</v>
      </c>
      <c r="B3182" s="6" t="s">
        <v>16</v>
      </c>
      <c r="C3182" s="6" t="s">
        <v>421</v>
      </c>
      <c r="D3182" s="6" t="s">
        <v>35</v>
      </c>
      <c r="E3182" s="6" t="s">
        <v>39</v>
      </c>
      <c r="F3182" s="6" t="s">
        <v>162</v>
      </c>
      <c r="G3182" s="6" t="s">
        <v>257</v>
      </c>
      <c r="H3182" s="6" t="s">
        <v>422</v>
      </c>
      <c r="I3182" s="6" t="s">
        <v>63</v>
      </c>
      <c r="J3182" s="6">
        <v>16.458443180762998</v>
      </c>
      <c r="K3182" s="6">
        <v>-95.022112263511005</v>
      </c>
      <c r="L3182" s="6" t="str">
        <f>HYPERLINK("https://maps.google.com/?q=16.4584431807633,-95.022112263511303", "🔗 Ver Mapa")</f>
        <v>🔗 Ver Mapa</v>
      </c>
    </row>
    <row r="3183" spans="1:12" ht="43.5" x14ac:dyDescent="0.35">
      <c r="A3183" s="5" t="s">
        <v>8</v>
      </c>
      <c r="B3183" s="5" t="s">
        <v>16</v>
      </c>
      <c r="C3183" s="5" t="s">
        <v>421</v>
      </c>
      <c r="D3183" s="5" t="s">
        <v>35</v>
      </c>
      <c r="E3183" s="5" t="s">
        <v>39</v>
      </c>
      <c r="F3183" s="5" t="s">
        <v>162</v>
      </c>
      <c r="G3183" s="5" t="s">
        <v>257</v>
      </c>
      <c r="H3183" s="5" t="s">
        <v>422</v>
      </c>
      <c r="I3183" s="5" t="s">
        <v>63</v>
      </c>
      <c r="J3183" s="5">
        <v>16.460449505755999</v>
      </c>
      <c r="K3183" s="5">
        <v>-95.016409472386997</v>
      </c>
      <c r="L3183" s="5" t="str">
        <f>HYPERLINK("https://maps.google.com/?q=16.4604495057556,-95.016409472387295", "🔗 Ver Mapa")</f>
        <v>🔗 Ver Mapa</v>
      </c>
    </row>
    <row r="3184" spans="1:12" ht="43.5" x14ac:dyDescent="0.35">
      <c r="A3184" s="6" t="s">
        <v>8</v>
      </c>
      <c r="B3184" s="6" t="s">
        <v>16</v>
      </c>
      <c r="C3184" s="6" t="s">
        <v>421</v>
      </c>
      <c r="D3184" s="6" t="s">
        <v>35</v>
      </c>
      <c r="E3184" s="6" t="s">
        <v>39</v>
      </c>
      <c r="F3184" s="6" t="s">
        <v>162</v>
      </c>
      <c r="G3184" s="6" t="s">
        <v>257</v>
      </c>
      <c r="H3184" s="6" t="s">
        <v>422</v>
      </c>
      <c r="I3184" s="6" t="s">
        <v>63</v>
      </c>
      <c r="J3184" s="6">
        <v>16.460530242987002</v>
      </c>
      <c r="K3184" s="6">
        <v>-95.015389969121998</v>
      </c>
      <c r="L3184" s="6" t="str">
        <f>HYPERLINK("https://maps.google.com/?q=16.4605302429866,-95.015389969121998", "🔗 Ver Mapa")</f>
        <v>🔗 Ver Mapa</v>
      </c>
    </row>
    <row r="3185" spans="1:12" ht="43.5" x14ac:dyDescent="0.35">
      <c r="A3185" s="5" t="s">
        <v>8</v>
      </c>
      <c r="B3185" s="5" t="s">
        <v>16</v>
      </c>
      <c r="C3185" s="5" t="s">
        <v>421</v>
      </c>
      <c r="D3185" s="5" t="s">
        <v>35</v>
      </c>
      <c r="E3185" s="5" t="s">
        <v>39</v>
      </c>
      <c r="F3185" s="5" t="s">
        <v>162</v>
      </c>
      <c r="G3185" s="5" t="s">
        <v>257</v>
      </c>
      <c r="H3185" s="5" t="s">
        <v>422</v>
      </c>
      <c r="I3185" s="5" t="s">
        <v>63</v>
      </c>
      <c r="J3185" s="5">
        <v>16.464805069488001</v>
      </c>
      <c r="K3185" s="5">
        <v>-95.031225587967995</v>
      </c>
      <c r="L3185" s="5" t="str">
        <f>HYPERLINK("https://maps.google.com/?q=16.4648050694884,-95.031225587967597", "🔗 Ver Mapa")</f>
        <v>🔗 Ver Mapa</v>
      </c>
    </row>
    <row r="3186" spans="1:12" ht="72.5" x14ac:dyDescent="0.35">
      <c r="A3186" s="6" t="s">
        <v>199</v>
      </c>
      <c r="B3186" s="6" t="s">
        <v>200</v>
      </c>
      <c r="C3186" s="6" t="s">
        <v>424</v>
      </c>
      <c r="D3186" s="6" t="s">
        <v>202</v>
      </c>
      <c r="E3186" s="6" t="s">
        <v>128</v>
      </c>
      <c r="F3186" s="6" t="s">
        <v>203</v>
      </c>
      <c r="G3186" s="6" t="s">
        <v>425</v>
      </c>
      <c r="H3186" s="6" t="s">
        <v>426</v>
      </c>
      <c r="I3186" s="6" t="s">
        <v>63</v>
      </c>
      <c r="J3186" s="6">
        <v>17.904065452295001</v>
      </c>
      <c r="K3186" s="6">
        <v>-97.696994046322999</v>
      </c>
      <c r="L3186" s="6" t="str">
        <f>HYPERLINK("https://maps.google.com/?q=17.904065452294923,-97.69699404632324", "🔗 Ver Mapa")</f>
        <v>🔗 Ver Mapa</v>
      </c>
    </row>
    <row r="3187" spans="1:12" ht="72.5" x14ac:dyDescent="0.35">
      <c r="A3187" s="5" t="s">
        <v>199</v>
      </c>
      <c r="B3187" s="5" t="s">
        <v>200</v>
      </c>
      <c r="C3187" s="5" t="s">
        <v>427</v>
      </c>
      <c r="D3187" s="5" t="s">
        <v>202</v>
      </c>
      <c r="E3187" s="5" t="s">
        <v>339</v>
      </c>
      <c r="F3187" s="5" t="s">
        <v>353</v>
      </c>
      <c r="G3187" s="5" t="s">
        <v>428</v>
      </c>
      <c r="H3187" s="5" t="s">
        <v>429</v>
      </c>
      <c r="I3187" s="5" t="s">
        <v>63</v>
      </c>
      <c r="J3187" s="5">
        <v>18.185480922105</v>
      </c>
      <c r="K3187" s="5">
        <v>-96.914218315539003</v>
      </c>
      <c r="L3187" s="5" t="str">
        <f>HYPERLINK("https://maps.google.com/?q=18.185480922104915,-96.91421831553923", "🔗 Ver Mapa")</f>
        <v>🔗 Ver Mapa</v>
      </c>
    </row>
    <row r="3188" spans="1:12" ht="72.5" x14ac:dyDescent="0.35">
      <c r="A3188" s="6" t="s">
        <v>199</v>
      </c>
      <c r="B3188" s="6" t="s">
        <v>200</v>
      </c>
      <c r="C3188" s="6" t="s">
        <v>430</v>
      </c>
      <c r="D3188" s="6" t="s">
        <v>202</v>
      </c>
      <c r="E3188" s="6" t="s">
        <v>339</v>
      </c>
      <c r="F3188" s="6" t="s">
        <v>353</v>
      </c>
      <c r="G3188" s="6" t="s">
        <v>431</v>
      </c>
      <c r="H3188" s="6" t="s">
        <v>432</v>
      </c>
      <c r="I3188" s="6" t="s">
        <v>63</v>
      </c>
      <c r="J3188" s="6">
        <v>18.030690374873998</v>
      </c>
      <c r="K3188" s="6">
        <v>-96.909458799161001</v>
      </c>
      <c r="L3188" s="6" t="str">
        <f>HYPERLINK("https://maps.google.com/?q=18.030690374873892,-96.90945879916092", "🔗 Ver Mapa")</f>
        <v>🔗 Ver Mapa</v>
      </c>
    </row>
    <row r="3189" spans="1:12" ht="43.5" x14ac:dyDescent="0.35">
      <c r="A3189" s="5" t="s">
        <v>433</v>
      </c>
      <c r="B3189" s="5" t="s">
        <v>434</v>
      </c>
      <c r="C3189" s="5" t="s">
        <v>435</v>
      </c>
      <c r="D3189" s="5" t="s">
        <v>157</v>
      </c>
      <c r="E3189" s="5" t="s">
        <v>37</v>
      </c>
      <c r="F3189" s="5" t="s">
        <v>41</v>
      </c>
      <c r="G3189" s="5" t="s">
        <v>48</v>
      </c>
      <c r="H3189" s="5" t="s">
        <v>436</v>
      </c>
      <c r="I3189" s="5" t="s">
        <v>63</v>
      </c>
      <c r="J3189" s="5">
        <v>17.126365659434001</v>
      </c>
      <c r="K3189" s="5">
        <v>-96.767977133287999</v>
      </c>
      <c r="L3189" s="5" t="str">
        <f>HYPERLINK("https://maps.google.com/?q=17.126365659433922,-96.76797713328787", "🔗 Ver Mapa")</f>
        <v>🔗 Ver Mapa</v>
      </c>
    </row>
    <row r="3190" spans="1:12" ht="43.5" x14ac:dyDescent="0.35">
      <c r="A3190" s="6" t="s">
        <v>433</v>
      </c>
      <c r="B3190" s="6" t="s">
        <v>434</v>
      </c>
      <c r="C3190" s="6" t="s">
        <v>437</v>
      </c>
      <c r="D3190" s="6" t="s">
        <v>157</v>
      </c>
      <c r="E3190" s="6" t="s">
        <v>37</v>
      </c>
      <c r="F3190" s="6" t="s">
        <v>41</v>
      </c>
      <c r="G3190" s="6" t="s">
        <v>48</v>
      </c>
      <c r="H3190" s="6" t="s">
        <v>436</v>
      </c>
      <c r="I3190" s="6" t="s">
        <v>63</v>
      </c>
      <c r="J3190" s="6">
        <v>17.126347571610001</v>
      </c>
      <c r="K3190" s="6">
        <v>-96.767928050421006</v>
      </c>
      <c r="L3190" s="6" t="str">
        <f>HYPERLINK("https://maps.google.com/?q=17.126347571610154,-96.76792805042068", "🔗 Ver Mapa")</f>
        <v>🔗 Ver Mapa</v>
      </c>
    </row>
    <row r="3191" spans="1:12" ht="43.5" x14ac:dyDescent="0.35">
      <c r="A3191" s="5" t="s">
        <v>433</v>
      </c>
      <c r="B3191" s="5" t="s">
        <v>434</v>
      </c>
      <c r="C3191" s="5" t="s">
        <v>438</v>
      </c>
      <c r="D3191" s="5" t="s">
        <v>439</v>
      </c>
      <c r="E3191" s="5" t="s">
        <v>37</v>
      </c>
      <c r="F3191" s="5" t="s">
        <v>41</v>
      </c>
      <c r="G3191" s="5" t="s">
        <v>48</v>
      </c>
      <c r="H3191" s="5" t="s">
        <v>436</v>
      </c>
      <c r="I3191" s="5" t="s">
        <v>63</v>
      </c>
      <c r="J3191" s="5">
        <v>17.126338730295</v>
      </c>
      <c r="K3191" s="5">
        <v>-96.767930588556993</v>
      </c>
      <c r="L3191" s="5" t="str">
        <f>HYPERLINK("https://maps.google.com/?q=17.12633873029524,-96.76793058855655", "🔗 Ver Mapa")</f>
        <v>🔗 Ver Mapa</v>
      </c>
    </row>
    <row r="3192" spans="1:12" ht="43.5" x14ac:dyDescent="0.35">
      <c r="A3192" s="6" t="s">
        <v>330</v>
      </c>
      <c r="B3192" s="6" t="s">
        <v>331</v>
      </c>
      <c r="C3192" s="6" t="s">
        <v>440</v>
      </c>
      <c r="D3192" s="6" t="s">
        <v>333</v>
      </c>
      <c r="E3192" s="6" t="s">
        <v>37</v>
      </c>
      <c r="F3192" s="6" t="s">
        <v>41</v>
      </c>
      <c r="G3192" s="6" t="s">
        <v>47</v>
      </c>
      <c r="H3192" s="6" t="s">
        <v>54</v>
      </c>
      <c r="I3192" s="6" t="s">
        <v>63</v>
      </c>
      <c r="J3192" s="6">
        <v>17.054968675979001</v>
      </c>
      <c r="K3192" s="6">
        <v>-96.653866894253994</v>
      </c>
      <c r="L3192" s="6" t="str">
        <f>HYPERLINK("https://maps.google.com/?q=17.05496867597879,-96.6538668942536", "🔗 Ver Mapa")</f>
        <v>🔗 Ver Mapa</v>
      </c>
    </row>
    <row r="3193" spans="1:12" ht="43.5" x14ac:dyDescent="0.35">
      <c r="A3193" s="5" t="s">
        <v>359</v>
      </c>
      <c r="B3193" s="5" t="s">
        <v>360</v>
      </c>
      <c r="C3193" s="5" t="s">
        <v>367</v>
      </c>
      <c r="D3193" s="5" t="s">
        <v>31</v>
      </c>
      <c r="E3193" s="5" t="s">
        <v>362</v>
      </c>
      <c r="F3193" s="5" t="s">
        <v>363</v>
      </c>
      <c r="G3193" s="5" t="s">
        <v>364</v>
      </c>
      <c r="H3193" s="5" t="s">
        <v>365</v>
      </c>
      <c r="I3193" s="5" t="s">
        <v>63</v>
      </c>
      <c r="J3193" s="5">
        <v>15.746143999999999</v>
      </c>
      <c r="K3193" s="5">
        <v>-96.465182999999996</v>
      </c>
      <c r="L3193" s="5" t="str">
        <f>HYPERLINK("https://maps.google.com/?q=15.746144,-96.465182999999996", "🔗 Ver Mapa")</f>
        <v>🔗 Ver Mapa</v>
      </c>
    </row>
    <row r="3194" spans="1:12" ht="43.5" x14ac:dyDescent="0.35">
      <c r="A3194" s="6" t="s">
        <v>359</v>
      </c>
      <c r="B3194" s="6" t="s">
        <v>360</v>
      </c>
      <c r="C3194" s="6" t="s">
        <v>367</v>
      </c>
      <c r="D3194" s="6" t="s">
        <v>31</v>
      </c>
      <c r="E3194" s="6" t="s">
        <v>362</v>
      </c>
      <c r="F3194" s="6" t="s">
        <v>363</v>
      </c>
      <c r="G3194" s="6" t="s">
        <v>364</v>
      </c>
      <c r="H3194" s="6" t="s">
        <v>365</v>
      </c>
      <c r="I3194" s="6" t="s">
        <v>63</v>
      </c>
      <c r="J3194" s="6">
        <v>16.237075999999998</v>
      </c>
      <c r="K3194" s="6">
        <v>-97.292351999999994</v>
      </c>
      <c r="L3194" s="6" t="str">
        <f>HYPERLINK("https://maps.google.com/?q=16.237076,-97.292351999999994", "🔗 Ver Mapa")</f>
        <v>🔗 Ver Mapa</v>
      </c>
    </row>
    <row r="3195" spans="1:12" ht="43.5" x14ac:dyDescent="0.35">
      <c r="A3195" s="5" t="s">
        <v>359</v>
      </c>
      <c r="B3195" s="5" t="s">
        <v>360</v>
      </c>
      <c r="C3195" s="5" t="s">
        <v>367</v>
      </c>
      <c r="D3195" s="5" t="s">
        <v>31</v>
      </c>
      <c r="E3195" s="5" t="s">
        <v>362</v>
      </c>
      <c r="F3195" s="5" t="s">
        <v>363</v>
      </c>
      <c r="G3195" s="5" t="s">
        <v>364</v>
      </c>
      <c r="H3195" s="5" t="s">
        <v>365</v>
      </c>
      <c r="I3195" s="5" t="s">
        <v>63</v>
      </c>
      <c r="J3195" s="5">
        <v>16.279057999999999</v>
      </c>
      <c r="K3195" s="5">
        <v>-97.820240999999996</v>
      </c>
      <c r="L3195" s="5" t="str">
        <f>HYPERLINK("https://maps.google.com/?q=16.279058,-97.820240999999996", "🔗 Ver Mapa")</f>
        <v>🔗 Ver Mapa</v>
      </c>
    </row>
    <row r="3196" spans="1:12" ht="43.5" x14ac:dyDescent="0.35">
      <c r="A3196" s="6" t="s">
        <v>359</v>
      </c>
      <c r="B3196" s="6" t="s">
        <v>360</v>
      </c>
      <c r="C3196" s="6" t="s">
        <v>367</v>
      </c>
      <c r="D3196" s="6" t="s">
        <v>31</v>
      </c>
      <c r="E3196" s="6" t="s">
        <v>362</v>
      </c>
      <c r="F3196" s="6" t="s">
        <v>363</v>
      </c>
      <c r="G3196" s="6" t="s">
        <v>364</v>
      </c>
      <c r="H3196" s="6" t="s">
        <v>365</v>
      </c>
      <c r="I3196" s="6" t="s">
        <v>63</v>
      </c>
      <c r="J3196" s="6">
        <v>16.328751</v>
      </c>
      <c r="K3196" s="6">
        <v>-96.596529000000004</v>
      </c>
      <c r="L3196" s="6" t="str">
        <f>HYPERLINK("https://maps.google.com/?q=16.328751,-96.596529000000004", "🔗 Ver Mapa")</f>
        <v>🔗 Ver Mapa</v>
      </c>
    </row>
    <row r="3197" spans="1:12" ht="43.5" x14ac:dyDescent="0.35">
      <c r="A3197" s="5" t="s">
        <v>359</v>
      </c>
      <c r="B3197" s="5" t="s">
        <v>360</v>
      </c>
      <c r="C3197" s="5" t="s">
        <v>367</v>
      </c>
      <c r="D3197" s="5" t="s">
        <v>31</v>
      </c>
      <c r="E3197" s="5" t="s">
        <v>362</v>
      </c>
      <c r="F3197" s="5" t="s">
        <v>363</v>
      </c>
      <c r="G3197" s="5" t="s">
        <v>364</v>
      </c>
      <c r="H3197" s="5" t="s">
        <v>365</v>
      </c>
      <c r="I3197" s="5" t="s">
        <v>63</v>
      </c>
      <c r="J3197" s="5">
        <v>16.332014000000001</v>
      </c>
      <c r="K3197" s="5">
        <v>-95.231966</v>
      </c>
      <c r="L3197" s="5" t="str">
        <f>HYPERLINK("https://maps.google.com/?q=16.332014,-95.231966", "🔗 Ver Mapa")</f>
        <v>🔗 Ver Mapa</v>
      </c>
    </row>
    <row r="3198" spans="1:12" ht="43.5" x14ac:dyDescent="0.35">
      <c r="A3198" s="6" t="s">
        <v>359</v>
      </c>
      <c r="B3198" s="6" t="s">
        <v>360</v>
      </c>
      <c r="C3198" s="6" t="s">
        <v>367</v>
      </c>
      <c r="D3198" s="6" t="s">
        <v>31</v>
      </c>
      <c r="E3198" s="6" t="s">
        <v>362</v>
      </c>
      <c r="F3198" s="6" t="s">
        <v>363</v>
      </c>
      <c r="G3198" s="6" t="s">
        <v>364</v>
      </c>
      <c r="H3198" s="6" t="s">
        <v>365</v>
      </c>
      <c r="I3198" s="6" t="s">
        <v>63</v>
      </c>
      <c r="J3198" s="6">
        <v>16.433347000000001</v>
      </c>
      <c r="K3198" s="6">
        <v>-95.021687</v>
      </c>
      <c r="L3198" s="6" t="str">
        <f>HYPERLINK("https://maps.google.com/?q=16.433347,-95.021687", "🔗 Ver Mapa")</f>
        <v>🔗 Ver Mapa</v>
      </c>
    </row>
    <row r="3199" spans="1:12" ht="43.5" x14ac:dyDescent="0.35">
      <c r="A3199" s="5" t="s">
        <v>359</v>
      </c>
      <c r="B3199" s="5" t="s">
        <v>360</v>
      </c>
      <c r="C3199" s="5" t="s">
        <v>367</v>
      </c>
      <c r="D3199" s="5" t="s">
        <v>31</v>
      </c>
      <c r="E3199" s="5" t="s">
        <v>362</v>
      </c>
      <c r="F3199" s="5" t="s">
        <v>363</v>
      </c>
      <c r="G3199" s="5" t="s">
        <v>364</v>
      </c>
      <c r="H3199" s="5" t="s">
        <v>365</v>
      </c>
      <c r="I3199" s="5" t="s">
        <v>63</v>
      </c>
      <c r="J3199" s="5">
        <v>16.500512000000001</v>
      </c>
      <c r="K3199" s="5">
        <v>-96.106790000000004</v>
      </c>
      <c r="L3199" s="5" t="str">
        <f>HYPERLINK("https://maps.google.com/?q=16.500512,-96.106790000000004", "🔗 Ver Mapa")</f>
        <v>🔗 Ver Mapa</v>
      </c>
    </row>
    <row r="3200" spans="1:12" ht="43.5" x14ac:dyDescent="0.35">
      <c r="A3200" s="6" t="s">
        <v>359</v>
      </c>
      <c r="B3200" s="6" t="s">
        <v>360</v>
      </c>
      <c r="C3200" s="6" t="s">
        <v>367</v>
      </c>
      <c r="D3200" s="6" t="s">
        <v>31</v>
      </c>
      <c r="E3200" s="6" t="s">
        <v>362</v>
      </c>
      <c r="F3200" s="6" t="s">
        <v>363</v>
      </c>
      <c r="G3200" s="6" t="s">
        <v>364</v>
      </c>
      <c r="H3200" s="6" t="s">
        <v>365</v>
      </c>
      <c r="I3200" s="6" t="s">
        <v>63</v>
      </c>
      <c r="J3200" s="6">
        <v>16.519807</v>
      </c>
      <c r="K3200" s="6">
        <v>-96.983885000000001</v>
      </c>
      <c r="L3200" s="6" t="str">
        <f>HYPERLINK("https://maps.google.com/?q=16.519807,-96.983885000000001", "🔗 Ver Mapa")</f>
        <v>🔗 Ver Mapa</v>
      </c>
    </row>
    <row r="3201" spans="1:12" ht="43.5" x14ac:dyDescent="0.35">
      <c r="A3201" s="5" t="s">
        <v>359</v>
      </c>
      <c r="B3201" s="5" t="s">
        <v>360</v>
      </c>
      <c r="C3201" s="5" t="s">
        <v>367</v>
      </c>
      <c r="D3201" s="5" t="s">
        <v>31</v>
      </c>
      <c r="E3201" s="5" t="s">
        <v>362</v>
      </c>
      <c r="F3201" s="5" t="s">
        <v>363</v>
      </c>
      <c r="G3201" s="5" t="s">
        <v>364</v>
      </c>
      <c r="H3201" s="5" t="s">
        <v>365</v>
      </c>
      <c r="I3201" s="5" t="s">
        <v>63</v>
      </c>
      <c r="J3201" s="5">
        <v>16.564243999999999</v>
      </c>
      <c r="K3201" s="5">
        <v>-96.731829000000005</v>
      </c>
      <c r="L3201" s="5" t="str">
        <f>HYPERLINK("https://maps.google.com/?q=16.564244,-96.731829000000005", "🔗 Ver Mapa")</f>
        <v>🔗 Ver Mapa</v>
      </c>
    </row>
    <row r="3202" spans="1:12" ht="43.5" x14ac:dyDescent="0.35">
      <c r="A3202" s="6" t="s">
        <v>359</v>
      </c>
      <c r="B3202" s="6" t="s">
        <v>360</v>
      </c>
      <c r="C3202" s="6" t="s">
        <v>367</v>
      </c>
      <c r="D3202" s="6" t="s">
        <v>31</v>
      </c>
      <c r="E3202" s="6" t="s">
        <v>362</v>
      </c>
      <c r="F3202" s="6" t="s">
        <v>363</v>
      </c>
      <c r="G3202" s="6" t="s">
        <v>364</v>
      </c>
      <c r="H3202" s="6" t="s">
        <v>365</v>
      </c>
      <c r="I3202" s="6" t="s">
        <v>63</v>
      </c>
      <c r="J3202" s="6">
        <v>16.791625</v>
      </c>
      <c r="K3202" s="6">
        <v>-96.674999</v>
      </c>
      <c r="L3202" s="6" t="str">
        <f>HYPERLINK("https://maps.google.com/?q=16.791625,-96.674999", "🔗 Ver Mapa")</f>
        <v>🔗 Ver Mapa</v>
      </c>
    </row>
    <row r="3203" spans="1:12" ht="43.5" x14ac:dyDescent="0.35">
      <c r="A3203" s="5" t="s">
        <v>359</v>
      </c>
      <c r="B3203" s="5" t="s">
        <v>360</v>
      </c>
      <c r="C3203" s="5" t="s">
        <v>367</v>
      </c>
      <c r="D3203" s="5" t="s">
        <v>31</v>
      </c>
      <c r="E3203" s="5" t="s">
        <v>362</v>
      </c>
      <c r="F3203" s="5" t="s">
        <v>363</v>
      </c>
      <c r="G3203" s="5" t="s">
        <v>364</v>
      </c>
      <c r="H3203" s="5" t="s">
        <v>365</v>
      </c>
      <c r="I3203" s="5" t="s">
        <v>63</v>
      </c>
      <c r="J3203" s="5">
        <v>16.866371000000001</v>
      </c>
      <c r="K3203" s="5">
        <v>-96.785623000000001</v>
      </c>
      <c r="L3203" s="5" t="str">
        <f>HYPERLINK("https://maps.google.com/?q=16.866371,-96.785623000000001", "🔗 Ver Mapa")</f>
        <v>🔗 Ver Mapa</v>
      </c>
    </row>
    <row r="3204" spans="1:12" ht="43.5" x14ac:dyDescent="0.35">
      <c r="A3204" s="6" t="s">
        <v>359</v>
      </c>
      <c r="B3204" s="6" t="s">
        <v>360</v>
      </c>
      <c r="C3204" s="6" t="s">
        <v>367</v>
      </c>
      <c r="D3204" s="6" t="s">
        <v>31</v>
      </c>
      <c r="E3204" s="6" t="s">
        <v>362</v>
      </c>
      <c r="F3204" s="6" t="s">
        <v>363</v>
      </c>
      <c r="G3204" s="6" t="s">
        <v>364</v>
      </c>
      <c r="H3204" s="6" t="s">
        <v>365</v>
      </c>
      <c r="I3204" s="6" t="s">
        <v>63</v>
      </c>
      <c r="J3204" s="6">
        <v>16.950706</v>
      </c>
      <c r="K3204" s="6">
        <v>-96.750504000000006</v>
      </c>
      <c r="L3204" s="6" t="str">
        <f>HYPERLINK("https://maps.google.com/?q=16.950706,-96.750504000000006", "🔗 Ver Mapa")</f>
        <v>🔗 Ver Mapa</v>
      </c>
    </row>
    <row r="3205" spans="1:12" ht="43.5" x14ac:dyDescent="0.35">
      <c r="A3205" s="5" t="s">
        <v>359</v>
      </c>
      <c r="B3205" s="5" t="s">
        <v>360</v>
      </c>
      <c r="C3205" s="5" t="s">
        <v>367</v>
      </c>
      <c r="D3205" s="5" t="s">
        <v>31</v>
      </c>
      <c r="E3205" s="5" t="s">
        <v>362</v>
      </c>
      <c r="F3205" s="5" t="s">
        <v>363</v>
      </c>
      <c r="G3205" s="5" t="s">
        <v>364</v>
      </c>
      <c r="H3205" s="5" t="s">
        <v>365</v>
      </c>
      <c r="I3205" s="5" t="s">
        <v>63</v>
      </c>
      <c r="J3205" s="5">
        <v>16.955580000000001</v>
      </c>
      <c r="K3205" s="5">
        <v>-96.479206000000005</v>
      </c>
      <c r="L3205" s="5" t="str">
        <f>HYPERLINK("https://maps.google.com/?q=16.95558,-96.479206000000005", "🔗 Ver Mapa")</f>
        <v>🔗 Ver Mapa</v>
      </c>
    </row>
    <row r="3206" spans="1:12" ht="43.5" x14ac:dyDescent="0.35">
      <c r="A3206" s="6" t="s">
        <v>359</v>
      </c>
      <c r="B3206" s="6" t="s">
        <v>360</v>
      </c>
      <c r="C3206" s="6" t="s">
        <v>367</v>
      </c>
      <c r="D3206" s="6" t="s">
        <v>31</v>
      </c>
      <c r="E3206" s="6" t="s">
        <v>362</v>
      </c>
      <c r="F3206" s="6" t="s">
        <v>363</v>
      </c>
      <c r="G3206" s="6" t="s">
        <v>364</v>
      </c>
      <c r="H3206" s="6" t="s">
        <v>365</v>
      </c>
      <c r="I3206" s="6" t="s">
        <v>63</v>
      </c>
      <c r="J3206" s="6">
        <v>17.026216000000002</v>
      </c>
      <c r="K3206" s="6">
        <v>-97.928115000000005</v>
      </c>
      <c r="L3206" s="6" t="str">
        <f>HYPERLINK("https://maps.google.com/?q=17.026216,-97.928115000000005", "🔗 Ver Mapa")</f>
        <v>🔗 Ver Mapa</v>
      </c>
    </row>
    <row r="3207" spans="1:12" ht="43.5" x14ac:dyDescent="0.35">
      <c r="A3207" s="5" t="s">
        <v>359</v>
      </c>
      <c r="B3207" s="5" t="s">
        <v>360</v>
      </c>
      <c r="C3207" s="5" t="s">
        <v>367</v>
      </c>
      <c r="D3207" s="5" t="s">
        <v>31</v>
      </c>
      <c r="E3207" s="5" t="s">
        <v>362</v>
      </c>
      <c r="F3207" s="5" t="s">
        <v>363</v>
      </c>
      <c r="G3207" s="5" t="s">
        <v>364</v>
      </c>
      <c r="H3207" s="5" t="s">
        <v>365</v>
      </c>
      <c r="I3207" s="5" t="s">
        <v>63</v>
      </c>
      <c r="J3207" s="5">
        <v>17.027131000000001</v>
      </c>
      <c r="K3207" s="5">
        <v>-96.077044000000001</v>
      </c>
      <c r="L3207" s="5" t="str">
        <f>HYPERLINK("https://maps.google.com/?q=17.027131,-96.077044000000001", "🔗 Ver Mapa")</f>
        <v>🔗 Ver Mapa</v>
      </c>
    </row>
    <row r="3208" spans="1:12" ht="43.5" x14ac:dyDescent="0.35">
      <c r="A3208" s="6" t="s">
        <v>359</v>
      </c>
      <c r="B3208" s="6" t="s">
        <v>360</v>
      </c>
      <c r="C3208" s="6" t="s">
        <v>367</v>
      </c>
      <c r="D3208" s="6" t="s">
        <v>31</v>
      </c>
      <c r="E3208" s="6" t="s">
        <v>362</v>
      </c>
      <c r="F3208" s="6" t="s">
        <v>363</v>
      </c>
      <c r="G3208" s="6" t="s">
        <v>364</v>
      </c>
      <c r="H3208" s="6" t="s">
        <v>365</v>
      </c>
      <c r="I3208" s="6" t="s">
        <v>63</v>
      </c>
      <c r="J3208" s="6">
        <v>17.063777999999999</v>
      </c>
      <c r="K3208" s="6">
        <v>-96.729971000000006</v>
      </c>
      <c r="L3208" s="6" t="str">
        <f>HYPERLINK("https://maps.google.com/?q=17.063778,-96.729971000000006", "🔗 Ver Mapa")</f>
        <v>🔗 Ver Mapa</v>
      </c>
    </row>
    <row r="3209" spans="1:12" ht="43.5" x14ac:dyDescent="0.35">
      <c r="A3209" s="5" t="s">
        <v>359</v>
      </c>
      <c r="B3209" s="5" t="s">
        <v>360</v>
      </c>
      <c r="C3209" s="5" t="s">
        <v>367</v>
      </c>
      <c r="D3209" s="5" t="s">
        <v>31</v>
      </c>
      <c r="E3209" s="5" t="s">
        <v>362</v>
      </c>
      <c r="F3209" s="5" t="s">
        <v>363</v>
      </c>
      <c r="G3209" s="5" t="s">
        <v>364</v>
      </c>
      <c r="H3209" s="5" t="s">
        <v>365</v>
      </c>
      <c r="I3209" s="5" t="s">
        <v>63</v>
      </c>
      <c r="J3209" s="5">
        <v>17.207464000000002</v>
      </c>
      <c r="K3209" s="5">
        <v>-96.801094000000006</v>
      </c>
      <c r="L3209" s="5" t="str">
        <f>HYPERLINK("https://maps.google.com/?q=17.207464,-96.801094000000006", "🔗 Ver Mapa")</f>
        <v>🔗 Ver Mapa</v>
      </c>
    </row>
    <row r="3210" spans="1:12" ht="43.5" x14ac:dyDescent="0.35">
      <c r="A3210" s="6" t="s">
        <v>359</v>
      </c>
      <c r="B3210" s="6" t="s">
        <v>360</v>
      </c>
      <c r="C3210" s="6" t="s">
        <v>367</v>
      </c>
      <c r="D3210" s="6" t="s">
        <v>31</v>
      </c>
      <c r="E3210" s="6" t="s">
        <v>362</v>
      </c>
      <c r="F3210" s="6" t="s">
        <v>363</v>
      </c>
      <c r="G3210" s="6" t="s">
        <v>364</v>
      </c>
      <c r="H3210" s="6" t="s">
        <v>365</v>
      </c>
      <c r="I3210" s="6" t="s">
        <v>63</v>
      </c>
      <c r="J3210" s="6">
        <v>17.267448999999999</v>
      </c>
      <c r="K3210" s="6">
        <v>-97.680485000000004</v>
      </c>
      <c r="L3210" s="6" t="str">
        <f>HYPERLINK("https://maps.google.com/?q=17.267449,-97.680485000000004", "🔗 Ver Mapa")</f>
        <v>🔗 Ver Mapa</v>
      </c>
    </row>
    <row r="3211" spans="1:12" ht="43.5" x14ac:dyDescent="0.35">
      <c r="A3211" s="5" t="s">
        <v>359</v>
      </c>
      <c r="B3211" s="5" t="s">
        <v>360</v>
      </c>
      <c r="C3211" s="5" t="s">
        <v>367</v>
      </c>
      <c r="D3211" s="5" t="s">
        <v>31</v>
      </c>
      <c r="E3211" s="5" t="s">
        <v>362</v>
      </c>
      <c r="F3211" s="5" t="s">
        <v>363</v>
      </c>
      <c r="G3211" s="5" t="s">
        <v>364</v>
      </c>
      <c r="H3211" s="5" t="s">
        <v>365</v>
      </c>
      <c r="I3211" s="5" t="s">
        <v>63</v>
      </c>
      <c r="J3211" s="5">
        <v>17.331247999999999</v>
      </c>
      <c r="K3211" s="5">
        <v>-96.487900999999994</v>
      </c>
      <c r="L3211" s="5" t="str">
        <f>HYPERLINK("https://maps.google.com/?q=17.331248,-96.487900999999994", "🔗 Ver Mapa")</f>
        <v>🔗 Ver Mapa</v>
      </c>
    </row>
    <row r="3212" spans="1:12" ht="43.5" x14ac:dyDescent="0.35">
      <c r="A3212" s="6" t="s">
        <v>359</v>
      </c>
      <c r="B3212" s="6" t="s">
        <v>360</v>
      </c>
      <c r="C3212" s="6" t="s">
        <v>367</v>
      </c>
      <c r="D3212" s="6" t="s">
        <v>31</v>
      </c>
      <c r="E3212" s="6" t="s">
        <v>362</v>
      </c>
      <c r="F3212" s="6" t="s">
        <v>363</v>
      </c>
      <c r="G3212" s="6" t="s">
        <v>364</v>
      </c>
      <c r="H3212" s="6" t="s">
        <v>365</v>
      </c>
      <c r="I3212" s="6" t="s">
        <v>63</v>
      </c>
      <c r="J3212" s="6">
        <v>17.335315999999999</v>
      </c>
      <c r="K3212" s="6">
        <v>-98.012051</v>
      </c>
      <c r="L3212" s="6" t="str">
        <f>HYPERLINK("https://maps.google.com/?q=17.335316,-98.012051", "🔗 Ver Mapa")</f>
        <v>🔗 Ver Mapa</v>
      </c>
    </row>
    <row r="3213" spans="1:12" ht="43.5" x14ac:dyDescent="0.35">
      <c r="A3213" s="5" t="s">
        <v>359</v>
      </c>
      <c r="B3213" s="5" t="s">
        <v>360</v>
      </c>
      <c r="C3213" s="5" t="s">
        <v>367</v>
      </c>
      <c r="D3213" s="5" t="s">
        <v>31</v>
      </c>
      <c r="E3213" s="5" t="s">
        <v>362</v>
      </c>
      <c r="F3213" s="5" t="s">
        <v>363</v>
      </c>
      <c r="G3213" s="5" t="s">
        <v>364</v>
      </c>
      <c r="H3213" s="5" t="s">
        <v>365</v>
      </c>
      <c r="I3213" s="5" t="s">
        <v>63</v>
      </c>
      <c r="J3213" s="5">
        <v>17.338730000000002</v>
      </c>
      <c r="K3213" s="5">
        <v>-96.152553999999995</v>
      </c>
      <c r="L3213" s="5" t="str">
        <f>HYPERLINK("https://maps.google.com/?q=17.33873,-96.152553999999995", "🔗 Ver Mapa")</f>
        <v>🔗 Ver Mapa</v>
      </c>
    </row>
    <row r="3214" spans="1:12" ht="43.5" x14ac:dyDescent="0.35">
      <c r="A3214" s="6" t="s">
        <v>359</v>
      </c>
      <c r="B3214" s="6" t="s">
        <v>360</v>
      </c>
      <c r="C3214" s="6" t="s">
        <v>367</v>
      </c>
      <c r="D3214" s="6" t="s">
        <v>31</v>
      </c>
      <c r="E3214" s="6" t="s">
        <v>362</v>
      </c>
      <c r="F3214" s="6" t="s">
        <v>363</v>
      </c>
      <c r="G3214" s="6" t="s">
        <v>364</v>
      </c>
      <c r="H3214" s="6" t="s">
        <v>365</v>
      </c>
      <c r="I3214" s="6" t="s">
        <v>63</v>
      </c>
      <c r="J3214" s="6">
        <v>17.361765999999999</v>
      </c>
      <c r="K3214" s="6">
        <v>-95.922253999999995</v>
      </c>
      <c r="L3214" s="6" t="str">
        <f>HYPERLINK("https://maps.google.com/?q=17.361766,-95.922253999999995", "🔗 Ver Mapa")</f>
        <v>🔗 Ver Mapa</v>
      </c>
    </row>
    <row r="3215" spans="1:12" ht="43.5" x14ac:dyDescent="0.35">
      <c r="A3215" s="5" t="s">
        <v>359</v>
      </c>
      <c r="B3215" s="5" t="s">
        <v>360</v>
      </c>
      <c r="C3215" s="5" t="s">
        <v>367</v>
      </c>
      <c r="D3215" s="5" t="s">
        <v>31</v>
      </c>
      <c r="E3215" s="5" t="s">
        <v>362</v>
      </c>
      <c r="F3215" s="5" t="s">
        <v>363</v>
      </c>
      <c r="G3215" s="5" t="s">
        <v>364</v>
      </c>
      <c r="H3215" s="5" t="s">
        <v>365</v>
      </c>
      <c r="I3215" s="5" t="s">
        <v>63</v>
      </c>
      <c r="J3215" s="5">
        <v>17.458341000000001</v>
      </c>
      <c r="K3215" s="5">
        <v>-97.225285</v>
      </c>
      <c r="L3215" s="5" t="str">
        <f>HYPERLINK("https://maps.google.com/?q=17.458341,-97.225285", "🔗 Ver Mapa")</f>
        <v>🔗 Ver Mapa</v>
      </c>
    </row>
    <row r="3216" spans="1:12" ht="43.5" x14ac:dyDescent="0.35">
      <c r="A3216" s="6" t="s">
        <v>359</v>
      </c>
      <c r="B3216" s="6" t="s">
        <v>360</v>
      </c>
      <c r="C3216" s="6" t="s">
        <v>367</v>
      </c>
      <c r="D3216" s="6" t="s">
        <v>31</v>
      </c>
      <c r="E3216" s="6" t="s">
        <v>362</v>
      </c>
      <c r="F3216" s="6" t="s">
        <v>363</v>
      </c>
      <c r="G3216" s="6" t="s">
        <v>364</v>
      </c>
      <c r="H3216" s="6" t="s">
        <v>365</v>
      </c>
      <c r="I3216" s="6" t="s">
        <v>63</v>
      </c>
      <c r="J3216" s="6">
        <v>17.501442000000001</v>
      </c>
      <c r="K3216" s="6">
        <v>-98.142583999999999</v>
      </c>
      <c r="L3216" s="6" t="str">
        <f>HYPERLINK("https://maps.google.com/?q=17.501442,-98.142583999999999", "🔗 Ver Mapa")</f>
        <v>🔗 Ver Mapa</v>
      </c>
    </row>
    <row r="3217" spans="1:12" ht="43.5" x14ac:dyDescent="0.35">
      <c r="A3217" s="5" t="s">
        <v>359</v>
      </c>
      <c r="B3217" s="5" t="s">
        <v>360</v>
      </c>
      <c r="C3217" s="5" t="s">
        <v>367</v>
      </c>
      <c r="D3217" s="5" t="s">
        <v>31</v>
      </c>
      <c r="E3217" s="5" t="s">
        <v>362</v>
      </c>
      <c r="F3217" s="5" t="s">
        <v>363</v>
      </c>
      <c r="G3217" s="5" t="s">
        <v>364</v>
      </c>
      <c r="H3217" s="5" t="s">
        <v>365</v>
      </c>
      <c r="I3217" s="5" t="s">
        <v>63</v>
      </c>
      <c r="J3217" s="5">
        <v>17.511838000000001</v>
      </c>
      <c r="K3217" s="5">
        <v>-97.488547999999994</v>
      </c>
      <c r="L3217" s="5" t="str">
        <f>HYPERLINK("https://maps.google.com/?q=17.511838,-97.488547999999994", "🔗 Ver Mapa")</f>
        <v>🔗 Ver Mapa</v>
      </c>
    </row>
    <row r="3218" spans="1:12" ht="43.5" x14ac:dyDescent="0.35">
      <c r="A3218" s="6" t="s">
        <v>359</v>
      </c>
      <c r="B3218" s="6" t="s">
        <v>360</v>
      </c>
      <c r="C3218" s="6" t="s">
        <v>367</v>
      </c>
      <c r="D3218" s="6" t="s">
        <v>31</v>
      </c>
      <c r="E3218" s="6" t="s">
        <v>362</v>
      </c>
      <c r="F3218" s="6" t="s">
        <v>363</v>
      </c>
      <c r="G3218" s="6" t="s">
        <v>364</v>
      </c>
      <c r="H3218" s="6" t="s">
        <v>365</v>
      </c>
      <c r="I3218" s="6" t="s">
        <v>63</v>
      </c>
      <c r="J3218" s="6">
        <v>17.724615</v>
      </c>
      <c r="K3218" s="6">
        <v>-97.323898</v>
      </c>
      <c r="L3218" s="6" t="str">
        <f>HYPERLINK("https://maps.google.com/?q=17.724615,-97.323898", "🔗 Ver Mapa")</f>
        <v>🔗 Ver Mapa</v>
      </c>
    </row>
    <row r="3219" spans="1:12" ht="43.5" x14ac:dyDescent="0.35">
      <c r="A3219" s="5" t="s">
        <v>359</v>
      </c>
      <c r="B3219" s="5" t="s">
        <v>360</v>
      </c>
      <c r="C3219" s="5" t="s">
        <v>367</v>
      </c>
      <c r="D3219" s="5" t="s">
        <v>31</v>
      </c>
      <c r="E3219" s="5" t="s">
        <v>362</v>
      </c>
      <c r="F3219" s="5" t="s">
        <v>363</v>
      </c>
      <c r="G3219" s="5" t="s">
        <v>364</v>
      </c>
      <c r="H3219" s="5" t="s">
        <v>365</v>
      </c>
      <c r="I3219" s="5" t="s">
        <v>63</v>
      </c>
      <c r="J3219" s="5">
        <v>17.801687000000001</v>
      </c>
      <c r="K3219" s="5">
        <v>-96.959688</v>
      </c>
      <c r="L3219" s="5" t="str">
        <f>HYPERLINK("https://maps.google.com/?q=17.801687,-96.959688", "🔗 Ver Mapa")</f>
        <v>🔗 Ver Mapa</v>
      </c>
    </row>
    <row r="3220" spans="1:12" ht="43.5" x14ac:dyDescent="0.35">
      <c r="A3220" s="6" t="s">
        <v>359</v>
      </c>
      <c r="B3220" s="6" t="s">
        <v>360</v>
      </c>
      <c r="C3220" s="6" t="s">
        <v>367</v>
      </c>
      <c r="D3220" s="6" t="s">
        <v>31</v>
      </c>
      <c r="E3220" s="6" t="s">
        <v>362</v>
      </c>
      <c r="F3220" s="6" t="s">
        <v>363</v>
      </c>
      <c r="G3220" s="6" t="s">
        <v>364</v>
      </c>
      <c r="H3220" s="6" t="s">
        <v>365</v>
      </c>
      <c r="I3220" s="6" t="s">
        <v>63</v>
      </c>
      <c r="J3220" s="6">
        <v>17.806621</v>
      </c>
      <c r="K3220" s="6">
        <v>-97.776161999999999</v>
      </c>
      <c r="L3220" s="6" t="str">
        <f>HYPERLINK("https://maps.google.com/?q=17.806621,-97.776161999999999", "🔗 Ver Mapa")</f>
        <v>🔗 Ver Mapa</v>
      </c>
    </row>
    <row r="3221" spans="1:12" ht="43.5" x14ac:dyDescent="0.35">
      <c r="A3221" s="5" t="s">
        <v>359</v>
      </c>
      <c r="B3221" s="5" t="s">
        <v>360</v>
      </c>
      <c r="C3221" s="5" t="s">
        <v>367</v>
      </c>
      <c r="D3221" s="5" t="s">
        <v>31</v>
      </c>
      <c r="E3221" s="5" t="s">
        <v>362</v>
      </c>
      <c r="F3221" s="5" t="s">
        <v>363</v>
      </c>
      <c r="G3221" s="5" t="s">
        <v>364</v>
      </c>
      <c r="H3221" s="5" t="s">
        <v>365</v>
      </c>
      <c r="I3221" s="5" t="s">
        <v>63</v>
      </c>
      <c r="J3221" s="5">
        <v>18.081168999999999</v>
      </c>
      <c r="K3221" s="5">
        <v>-96.118475000000004</v>
      </c>
      <c r="L3221" s="5" t="str">
        <f>HYPERLINK("https://maps.google.com/?q=18.081169,-96.118475000000004", "🔗 Ver Mapa")</f>
        <v>🔗 Ver Mapa</v>
      </c>
    </row>
    <row r="3222" spans="1:12" ht="43.5" x14ac:dyDescent="0.35">
      <c r="A3222" s="6" t="s">
        <v>359</v>
      </c>
      <c r="B3222" s="6" t="s">
        <v>360</v>
      </c>
      <c r="C3222" s="6" t="s">
        <v>367</v>
      </c>
      <c r="D3222" s="6" t="s">
        <v>31</v>
      </c>
      <c r="E3222" s="6" t="s">
        <v>362</v>
      </c>
      <c r="F3222" s="6" t="s">
        <v>363</v>
      </c>
      <c r="G3222" s="6" t="s">
        <v>364</v>
      </c>
      <c r="H3222" s="6" t="s">
        <v>365</v>
      </c>
      <c r="I3222" s="6" t="s">
        <v>63</v>
      </c>
      <c r="J3222" s="6">
        <v>18.13222</v>
      </c>
      <c r="K3222" s="6">
        <v>-97.070751000000001</v>
      </c>
      <c r="L3222" s="6" t="str">
        <f>HYPERLINK("https://maps.google.com/?q=18.13222,-97.070751000000001", "🔗 Ver Mapa")</f>
        <v>🔗 Ver Mapa</v>
      </c>
    </row>
    <row r="3223" spans="1:12" ht="43.5" x14ac:dyDescent="0.35">
      <c r="A3223" s="5" t="s">
        <v>359</v>
      </c>
      <c r="B3223" s="5" t="s">
        <v>360</v>
      </c>
      <c r="C3223" s="5" t="s">
        <v>373</v>
      </c>
      <c r="D3223" s="5" t="s">
        <v>31</v>
      </c>
      <c r="E3223" s="5" t="s">
        <v>362</v>
      </c>
      <c r="F3223" s="5" t="s">
        <v>363</v>
      </c>
      <c r="G3223" s="5" t="s">
        <v>364</v>
      </c>
      <c r="H3223" s="5" t="s">
        <v>365</v>
      </c>
      <c r="I3223" s="5" t="s">
        <v>63</v>
      </c>
      <c r="J3223" s="5">
        <v>15.746143999999999</v>
      </c>
      <c r="K3223" s="5">
        <v>-96.465182999999996</v>
      </c>
      <c r="L3223" s="5" t="str">
        <f>HYPERLINK("https://maps.google.com/?q=15.746144,-96.465182999999996", "🔗 Ver Mapa")</f>
        <v>🔗 Ver Mapa</v>
      </c>
    </row>
    <row r="3224" spans="1:12" ht="43.5" x14ac:dyDescent="0.35">
      <c r="A3224" s="6" t="s">
        <v>359</v>
      </c>
      <c r="B3224" s="6" t="s">
        <v>360</v>
      </c>
      <c r="C3224" s="6" t="s">
        <v>373</v>
      </c>
      <c r="D3224" s="6" t="s">
        <v>31</v>
      </c>
      <c r="E3224" s="6" t="s">
        <v>362</v>
      </c>
      <c r="F3224" s="6" t="s">
        <v>363</v>
      </c>
      <c r="G3224" s="6" t="s">
        <v>364</v>
      </c>
      <c r="H3224" s="6" t="s">
        <v>365</v>
      </c>
      <c r="I3224" s="6" t="s">
        <v>63</v>
      </c>
      <c r="J3224" s="6">
        <v>16.237075999999998</v>
      </c>
      <c r="K3224" s="6">
        <v>-97.292351999999994</v>
      </c>
      <c r="L3224" s="6" t="str">
        <f>HYPERLINK("https://maps.google.com/?q=16.237076,-97.292351999999994", "🔗 Ver Mapa")</f>
        <v>🔗 Ver Mapa</v>
      </c>
    </row>
    <row r="3225" spans="1:12" ht="43.5" x14ac:dyDescent="0.35">
      <c r="A3225" s="5" t="s">
        <v>359</v>
      </c>
      <c r="B3225" s="5" t="s">
        <v>360</v>
      </c>
      <c r="C3225" s="5" t="s">
        <v>373</v>
      </c>
      <c r="D3225" s="5" t="s">
        <v>31</v>
      </c>
      <c r="E3225" s="5" t="s">
        <v>362</v>
      </c>
      <c r="F3225" s="5" t="s">
        <v>363</v>
      </c>
      <c r="G3225" s="5" t="s">
        <v>364</v>
      </c>
      <c r="H3225" s="5" t="s">
        <v>365</v>
      </c>
      <c r="I3225" s="5" t="s">
        <v>63</v>
      </c>
      <c r="J3225" s="5">
        <v>16.279057999999999</v>
      </c>
      <c r="K3225" s="5">
        <v>-97.820240999999996</v>
      </c>
      <c r="L3225" s="5" t="str">
        <f>HYPERLINK("https://maps.google.com/?q=16.279058,-97.820240999999996", "🔗 Ver Mapa")</f>
        <v>🔗 Ver Mapa</v>
      </c>
    </row>
    <row r="3226" spans="1:12" ht="43.5" x14ac:dyDescent="0.35">
      <c r="A3226" s="6" t="s">
        <v>359</v>
      </c>
      <c r="B3226" s="6" t="s">
        <v>360</v>
      </c>
      <c r="C3226" s="6" t="s">
        <v>373</v>
      </c>
      <c r="D3226" s="6" t="s">
        <v>31</v>
      </c>
      <c r="E3226" s="6" t="s">
        <v>362</v>
      </c>
      <c r="F3226" s="6" t="s">
        <v>363</v>
      </c>
      <c r="G3226" s="6" t="s">
        <v>364</v>
      </c>
      <c r="H3226" s="6" t="s">
        <v>365</v>
      </c>
      <c r="I3226" s="6" t="s">
        <v>63</v>
      </c>
      <c r="J3226" s="6">
        <v>16.328751</v>
      </c>
      <c r="K3226" s="6">
        <v>-96.596529000000004</v>
      </c>
      <c r="L3226" s="6" t="str">
        <f>HYPERLINK("https://maps.google.com/?q=16.328751,-96.596529000000004", "🔗 Ver Mapa")</f>
        <v>🔗 Ver Mapa</v>
      </c>
    </row>
    <row r="3227" spans="1:12" ht="43.5" x14ac:dyDescent="0.35">
      <c r="A3227" s="5" t="s">
        <v>359</v>
      </c>
      <c r="B3227" s="5" t="s">
        <v>360</v>
      </c>
      <c r="C3227" s="5" t="s">
        <v>373</v>
      </c>
      <c r="D3227" s="5" t="s">
        <v>31</v>
      </c>
      <c r="E3227" s="5" t="s">
        <v>362</v>
      </c>
      <c r="F3227" s="5" t="s">
        <v>363</v>
      </c>
      <c r="G3227" s="5" t="s">
        <v>364</v>
      </c>
      <c r="H3227" s="5" t="s">
        <v>365</v>
      </c>
      <c r="I3227" s="5" t="s">
        <v>63</v>
      </c>
      <c r="J3227" s="5">
        <v>16.332014000000001</v>
      </c>
      <c r="K3227" s="5">
        <v>-95.231966</v>
      </c>
      <c r="L3227" s="5" t="str">
        <f>HYPERLINK("https://maps.google.com/?q=16.332014,-95.231966", "🔗 Ver Mapa")</f>
        <v>🔗 Ver Mapa</v>
      </c>
    </row>
    <row r="3228" spans="1:12" ht="43.5" x14ac:dyDescent="0.35">
      <c r="A3228" s="6" t="s">
        <v>359</v>
      </c>
      <c r="B3228" s="6" t="s">
        <v>360</v>
      </c>
      <c r="C3228" s="6" t="s">
        <v>373</v>
      </c>
      <c r="D3228" s="6" t="s">
        <v>31</v>
      </c>
      <c r="E3228" s="6" t="s">
        <v>362</v>
      </c>
      <c r="F3228" s="6" t="s">
        <v>363</v>
      </c>
      <c r="G3228" s="6" t="s">
        <v>364</v>
      </c>
      <c r="H3228" s="6" t="s">
        <v>365</v>
      </c>
      <c r="I3228" s="6" t="s">
        <v>63</v>
      </c>
      <c r="J3228" s="6">
        <v>16.433347000000001</v>
      </c>
      <c r="K3228" s="6">
        <v>-95.021687</v>
      </c>
      <c r="L3228" s="6" t="str">
        <f>HYPERLINK("https://maps.google.com/?q=16.433347,-95.021687", "🔗 Ver Mapa")</f>
        <v>🔗 Ver Mapa</v>
      </c>
    </row>
    <row r="3229" spans="1:12" ht="43.5" x14ac:dyDescent="0.35">
      <c r="A3229" s="5" t="s">
        <v>359</v>
      </c>
      <c r="B3229" s="5" t="s">
        <v>360</v>
      </c>
      <c r="C3229" s="5" t="s">
        <v>373</v>
      </c>
      <c r="D3229" s="5" t="s">
        <v>31</v>
      </c>
      <c r="E3229" s="5" t="s">
        <v>362</v>
      </c>
      <c r="F3229" s="5" t="s">
        <v>363</v>
      </c>
      <c r="G3229" s="5" t="s">
        <v>364</v>
      </c>
      <c r="H3229" s="5" t="s">
        <v>365</v>
      </c>
      <c r="I3229" s="5" t="s">
        <v>63</v>
      </c>
      <c r="J3229" s="5">
        <v>16.500512000000001</v>
      </c>
      <c r="K3229" s="5">
        <v>-96.106790000000004</v>
      </c>
      <c r="L3229" s="5" t="str">
        <f>HYPERLINK("https://maps.google.com/?q=16.500512,-96.106790000000004", "🔗 Ver Mapa")</f>
        <v>🔗 Ver Mapa</v>
      </c>
    </row>
    <row r="3230" spans="1:12" ht="43.5" x14ac:dyDescent="0.35">
      <c r="A3230" s="6" t="s">
        <v>359</v>
      </c>
      <c r="B3230" s="6" t="s">
        <v>360</v>
      </c>
      <c r="C3230" s="6" t="s">
        <v>373</v>
      </c>
      <c r="D3230" s="6" t="s">
        <v>31</v>
      </c>
      <c r="E3230" s="6" t="s">
        <v>362</v>
      </c>
      <c r="F3230" s="6" t="s">
        <v>363</v>
      </c>
      <c r="G3230" s="6" t="s">
        <v>364</v>
      </c>
      <c r="H3230" s="6" t="s">
        <v>365</v>
      </c>
      <c r="I3230" s="6" t="s">
        <v>63</v>
      </c>
      <c r="J3230" s="6">
        <v>16.519807</v>
      </c>
      <c r="K3230" s="6">
        <v>-96.983885000000001</v>
      </c>
      <c r="L3230" s="6" t="str">
        <f>HYPERLINK("https://maps.google.com/?q=16.519807,-96.983885000000001", "🔗 Ver Mapa")</f>
        <v>🔗 Ver Mapa</v>
      </c>
    </row>
    <row r="3231" spans="1:12" ht="43.5" x14ac:dyDescent="0.35">
      <c r="A3231" s="5" t="s">
        <v>359</v>
      </c>
      <c r="B3231" s="5" t="s">
        <v>360</v>
      </c>
      <c r="C3231" s="5" t="s">
        <v>373</v>
      </c>
      <c r="D3231" s="5" t="s">
        <v>31</v>
      </c>
      <c r="E3231" s="5" t="s">
        <v>362</v>
      </c>
      <c r="F3231" s="5" t="s">
        <v>363</v>
      </c>
      <c r="G3231" s="5" t="s">
        <v>364</v>
      </c>
      <c r="H3231" s="5" t="s">
        <v>365</v>
      </c>
      <c r="I3231" s="5" t="s">
        <v>63</v>
      </c>
      <c r="J3231" s="5">
        <v>16.564243999999999</v>
      </c>
      <c r="K3231" s="5">
        <v>-96.731829000000005</v>
      </c>
      <c r="L3231" s="5" t="str">
        <f>HYPERLINK("https://maps.google.com/?q=16.564244,-96.731829000000005", "🔗 Ver Mapa")</f>
        <v>🔗 Ver Mapa</v>
      </c>
    </row>
    <row r="3232" spans="1:12" ht="43.5" x14ac:dyDescent="0.35">
      <c r="A3232" s="6" t="s">
        <v>359</v>
      </c>
      <c r="B3232" s="6" t="s">
        <v>360</v>
      </c>
      <c r="C3232" s="6" t="s">
        <v>373</v>
      </c>
      <c r="D3232" s="6" t="s">
        <v>31</v>
      </c>
      <c r="E3232" s="6" t="s">
        <v>362</v>
      </c>
      <c r="F3232" s="6" t="s">
        <v>363</v>
      </c>
      <c r="G3232" s="6" t="s">
        <v>364</v>
      </c>
      <c r="H3232" s="6" t="s">
        <v>365</v>
      </c>
      <c r="I3232" s="6" t="s">
        <v>63</v>
      </c>
      <c r="J3232" s="6">
        <v>16.791625</v>
      </c>
      <c r="K3232" s="6">
        <v>-96.674999</v>
      </c>
      <c r="L3232" s="6" t="str">
        <f>HYPERLINK("https://maps.google.com/?q=16.791625,-96.674999", "🔗 Ver Mapa")</f>
        <v>🔗 Ver Mapa</v>
      </c>
    </row>
    <row r="3233" spans="1:12" ht="43.5" x14ac:dyDescent="0.35">
      <c r="A3233" s="5" t="s">
        <v>359</v>
      </c>
      <c r="B3233" s="5" t="s">
        <v>360</v>
      </c>
      <c r="C3233" s="5" t="s">
        <v>373</v>
      </c>
      <c r="D3233" s="5" t="s">
        <v>31</v>
      </c>
      <c r="E3233" s="5" t="s">
        <v>362</v>
      </c>
      <c r="F3233" s="5" t="s">
        <v>363</v>
      </c>
      <c r="G3233" s="5" t="s">
        <v>364</v>
      </c>
      <c r="H3233" s="5" t="s">
        <v>365</v>
      </c>
      <c r="I3233" s="5" t="s">
        <v>63</v>
      </c>
      <c r="J3233" s="5">
        <v>16.866371000000001</v>
      </c>
      <c r="K3233" s="5">
        <v>-96.785623000000001</v>
      </c>
      <c r="L3233" s="5" t="str">
        <f>HYPERLINK("https://maps.google.com/?q=16.866371,-96.785623000000001", "🔗 Ver Mapa")</f>
        <v>🔗 Ver Mapa</v>
      </c>
    </row>
    <row r="3234" spans="1:12" ht="43.5" x14ac:dyDescent="0.35">
      <c r="A3234" s="6" t="s">
        <v>359</v>
      </c>
      <c r="B3234" s="6" t="s">
        <v>360</v>
      </c>
      <c r="C3234" s="6" t="s">
        <v>373</v>
      </c>
      <c r="D3234" s="6" t="s">
        <v>31</v>
      </c>
      <c r="E3234" s="6" t="s">
        <v>362</v>
      </c>
      <c r="F3234" s="6" t="s">
        <v>363</v>
      </c>
      <c r="G3234" s="6" t="s">
        <v>364</v>
      </c>
      <c r="H3234" s="6" t="s">
        <v>365</v>
      </c>
      <c r="I3234" s="6" t="s">
        <v>63</v>
      </c>
      <c r="J3234" s="6">
        <v>16.950706</v>
      </c>
      <c r="K3234" s="6">
        <v>-96.750504000000006</v>
      </c>
      <c r="L3234" s="6" t="str">
        <f>HYPERLINK("https://maps.google.com/?q=16.950706,-96.750504000000006", "🔗 Ver Mapa")</f>
        <v>🔗 Ver Mapa</v>
      </c>
    </row>
    <row r="3235" spans="1:12" ht="43.5" x14ac:dyDescent="0.35">
      <c r="A3235" s="5" t="s">
        <v>359</v>
      </c>
      <c r="B3235" s="5" t="s">
        <v>360</v>
      </c>
      <c r="C3235" s="5" t="s">
        <v>373</v>
      </c>
      <c r="D3235" s="5" t="s">
        <v>31</v>
      </c>
      <c r="E3235" s="5" t="s">
        <v>362</v>
      </c>
      <c r="F3235" s="5" t="s">
        <v>363</v>
      </c>
      <c r="G3235" s="5" t="s">
        <v>364</v>
      </c>
      <c r="H3235" s="5" t="s">
        <v>365</v>
      </c>
      <c r="I3235" s="5" t="s">
        <v>63</v>
      </c>
      <c r="J3235" s="5">
        <v>16.955580000000001</v>
      </c>
      <c r="K3235" s="5">
        <v>-96.479206000000005</v>
      </c>
      <c r="L3235" s="5" t="str">
        <f>HYPERLINK("https://maps.google.com/?q=16.95558,-96.479206000000005", "🔗 Ver Mapa")</f>
        <v>🔗 Ver Mapa</v>
      </c>
    </row>
    <row r="3236" spans="1:12" ht="43.5" x14ac:dyDescent="0.35">
      <c r="A3236" s="6" t="s">
        <v>359</v>
      </c>
      <c r="B3236" s="6" t="s">
        <v>360</v>
      </c>
      <c r="C3236" s="6" t="s">
        <v>373</v>
      </c>
      <c r="D3236" s="6" t="s">
        <v>31</v>
      </c>
      <c r="E3236" s="6" t="s">
        <v>362</v>
      </c>
      <c r="F3236" s="6" t="s">
        <v>363</v>
      </c>
      <c r="G3236" s="6" t="s">
        <v>364</v>
      </c>
      <c r="H3236" s="6" t="s">
        <v>365</v>
      </c>
      <c r="I3236" s="6" t="s">
        <v>63</v>
      </c>
      <c r="J3236" s="6">
        <v>17.026216000000002</v>
      </c>
      <c r="K3236" s="6">
        <v>-97.928115000000005</v>
      </c>
      <c r="L3236" s="6" t="str">
        <f>HYPERLINK("https://maps.google.com/?q=17.026216,-97.928115000000005", "🔗 Ver Mapa")</f>
        <v>🔗 Ver Mapa</v>
      </c>
    </row>
    <row r="3237" spans="1:12" ht="43.5" x14ac:dyDescent="0.35">
      <c r="A3237" s="5" t="s">
        <v>359</v>
      </c>
      <c r="B3237" s="5" t="s">
        <v>360</v>
      </c>
      <c r="C3237" s="5" t="s">
        <v>373</v>
      </c>
      <c r="D3237" s="5" t="s">
        <v>31</v>
      </c>
      <c r="E3237" s="5" t="s">
        <v>362</v>
      </c>
      <c r="F3237" s="5" t="s">
        <v>363</v>
      </c>
      <c r="G3237" s="5" t="s">
        <v>364</v>
      </c>
      <c r="H3237" s="5" t="s">
        <v>365</v>
      </c>
      <c r="I3237" s="5" t="s">
        <v>63</v>
      </c>
      <c r="J3237" s="5">
        <v>17.027131000000001</v>
      </c>
      <c r="K3237" s="5">
        <v>-96.077044000000001</v>
      </c>
      <c r="L3237" s="5" t="str">
        <f>HYPERLINK("https://maps.google.com/?q=17.027131,-96.077044000000001", "🔗 Ver Mapa")</f>
        <v>🔗 Ver Mapa</v>
      </c>
    </row>
    <row r="3238" spans="1:12" ht="43.5" x14ac:dyDescent="0.35">
      <c r="A3238" s="6" t="s">
        <v>359</v>
      </c>
      <c r="B3238" s="6" t="s">
        <v>360</v>
      </c>
      <c r="C3238" s="6" t="s">
        <v>373</v>
      </c>
      <c r="D3238" s="6" t="s">
        <v>31</v>
      </c>
      <c r="E3238" s="6" t="s">
        <v>362</v>
      </c>
      <c r="F3238" s="6" t="s">
        <v>363</v>
      </c>
      <c r="G3238" s="6" t="s">
        <v>364</v>
      </c>
      <c r="H3238" s="6" t="s">
        <v>365</v>
      </c>
      <c r="I3238" s="6" t="s">
        <v>63</v>
      </c>
      <c r="J3238" s="6">
        <v>17.063777999999999</v>
      </c>
      <c r="K3238" s="6">
        <v>-96.729971000000006</v>
      </c>
      <c r="L3238" s="6" t="str">
        <f>HYPERLINK("https://maps.google.com/?q=17.063778,-96.729971000000006", "🔗 Ver Mapa")</f>
        <v>🔗 Ver Mapa</v>
      </c>
    </row>
    <row r="3239" spans="1:12" ht="43.5" x14ac:dyDescent="0.35">
      <c r="A3239" s="5" t="s">
        <v>359</v>
      </c>
      <c r="B3239" s="5" t="s">
        <v>360</v>
      </c>
      <c r="C3239" s="5" t="s">
        <v>373</v>
      </c>
      <c r="D3239" s="5" t="s">
        <v>31</v>
      </c>
      <c r="E3239" s="5" t="s">
        <v>362</v>
      </c>
      <c r="F3239" s="5" t="s">
        <v>363</v>
      </c>
      <c r="G3239" s="5" t="s">
        <v>364</v>
      </c>
      <c r="H3239" s="5" t="s">
        <v>365</v>
      </c>
      <c r="I3239" s="5" t="s">
        <v>63</v>
      </c>
      <c r="J3239" s="5">
        <v>17.207464000000002</v>
      </c>
      <c r="K3239" s="5">
        <v>-96.801094000000006</v>
      </c>
      <c r="L3239" s="5" t="str">
        <f>HYPERLINK("https://maps.google.com/?q=17.207464,-96.801094000000006", "🔗 Ver Mapa")</f>
        <v>🔗 Ver Mapa</v>
      </c>
    </row>
    <row r="3240" spans="1:12" ht="43.5" x14ac:dyDescent="0.35">
      <c r="A3240" s="6" t="s">
        <v>359</v>
      </c>
      <c r="B3240" s="6" t="s">
        <v>360</v>
      </c>
      <c r="C3240" s="6" t="s">
        <v>373</v>
      </c>
      <c r="D3240" s="6" t="s">
        <v>31</v>
      </c>
      <c r="E3240" s="6" t="s">
        <v>362</v>
      </c>
      <c r="F3240" s="6" t="s">
        <v>363</v>
      </c>
      <c r="G3240" s="6" t="s">
        <v>364</v>
      </c>
      <c r="H3240" s="6" t="s">
        <v>365</v>
      </c>
      <c r="I3240" s="6" t="s">
        <v>63</v>
      </c>
      <c r="J3240" s="6">
        <v>17.267448999999999</v>
      </c>
      <c r="K3240" s="6">
        <v>-97.680485000000004</v>
      </c>
      <c r="L3240" s="6" t="str">
        <f>HYPERLINK("https://maps.google.com/?q=17.267449,-97.680485000000004", "🔗 Ver Mapa")</f>
        <v>🔗 Ver Mapa</v>
      </c>
    </row>
    <row r="3241" spans="1:12" ht="43.5" x14ac:dyDescent="0.35">
      <c r="A3241" s="5" t="s">
        <v>359</v>
      </c>
      <c r="B3241" s="5" t="s">
        <v>360</v>
      </c>
      <c r="C3241" s="5" t="s">
        <v>373</v>
      </c>
      <c r="D3241" s="5" t="s">
        <v>31</v>
      </c>
      <c r="E3241" s="5" t="s">
        <v>362</v>
      </c>
      <c r="F3241" s="5" t="s">
        <v>363</v>
      </c>
      <c r="G3241" s="5" t="s">
        <v>364</v>
      </c>
      <c r="H3241" s="5" t="s">
        <v>365</v>
      </c>
      <c r="I3241" s="5" t="s">
        <v>63</v>
      </c>
      <c r="J3241" s="5">
        <v>17.331247999999999</v>
      </c>
      <c r="K3241" s="5">
        <v>-96.487900999999994</v>
      </c>
      <c r="L3241" s="5" t="str">
        <f>HYPERLINK("https://maps.google.com/?q=17.331248,-96.487900999999994", "🔗 Ver Mapa")</f>
        <v>🔗 Ver Mapa</v>
      </c>
    </row>
    <row r="3242" spans="1:12" ht="43.5" x14ac:dyDescent="0.35">
      <c r="A3242" s="6" t="s">
        <v>359</v>
      </c>
      <c r="B3242" s="6" t="s">
        <v>360</v>
      </c>
      <c r="C3242" s="6" t="s">
        <v>373</v>
      </c>
      <c r="D3242" s="6" t="s">
        <v>31</v>
      </c>
      <c r="E3242" s="6" t="s">
        <v>362</v>
      </c>
      <c r="F3242" s="6" t="s">
        <v>363</v>
      </c>
      <c r="G3242" s="6" t="s">
        <v>364</v>
      </c>
      <c r="H3242" s="6" t="s">
        <v>365</v>
      </c>
      <c r="I3242" s="6" t="s">
        <v>63</v>
      </c>
      <c r="J3242" s="6">
        <v>17.335315999999999</v>
      </c>
      <c r="K3242" s="6">
        <v>-98.012051</v>
      </c>
      <c r="L3242" s="6" t="str">
        <f>HYPERLINK("https://maps.google.com/?q=17.335316,-98.012051", "🔗 Ver Mapa")</f>
        <v>🔗 Ver Mapa</v>
      </c>
    </row>
    <row r="3243" spans="1:12" ht="43.5" x14ac:dyDescent="0.35">
      <c r="A3243" s="5" t="s">
        <v>359</v>
      </c>
      <c r="B3243" s="5" t="s">
        <v>360</v>
      </c>
      <c r="C3243" s="5" t="s">
        <v>373</v>
      </c>
      <c r="D3243" s="5" t="s">
        <v>31</v>
      </c>
      <c r="E3243" s="5" t="s">
        <v>362</v>
      </c>
      <c r="F3243" s="5" t="s">
        <v>363</v>
      </c>
      <c r="G3243" s="5" t="s">
        <v>364</v>
      </c>
      <c r="H3243" s="5" t="s">
        <v>365</v>
      </c>
      <c r="I3243" s="5" t="s">
        <v>63</v>
      </c>
      <c r="J3243" s="5">
        <v>17.338730000000002</v>
      </c>
      <c r="K3243" s="5">
        <v>-96.152553999999995</v>
      </c>
      <c r="L3243" s="5" t="str">
        <f>HYPERLINK("https://maps.google.com/?q=17.33873,-96.152553999999995", "🔗 Ver Mapa")</f>
        <v>🔗 Ver Mapa</v>
      </c>
    </row>
    <row r="3244" spans="1:12" ht="43.5" x14ac:dyDescent="0.35">
      <c r="A3244" s="6" t="s">
        <v>359</v>
      </c>
      <c r="B3244" s="6" t="s">
        <v>360</v>
      </c>
      <c r="C3244" s="6" t="s">
        <v>373</v>
      </c>
      <c r="D3244" s="6" t="s">
        <v>31</v>
      </c>
      <c r="E3244" s="6" t="s">
        <v>362</v>
      </c>
      <c r="F3244" s="6" t="s">
        <v>363</v>
      </c>
      <c r="G3244" s="6" t="s">
        <v>364</v>
      </c>
      <c r="H3244" s="6" t="s">
        <v>365</v>
      </c>
      <c r="I3244" s="6" t="s">
        <v>63</v>
      </c>
      <c r="J3244" s="6">
        <v>17.361765999999999</v>
      </c>
      <c r="K3244" s="6">
        <v>-95.922253999999995</v>
      </c>
      <c r="L3244" s="6" t="str">
        <f>HYPERLINK("https://maps.google.com/?q=17.361766,-95.922253999999995", "🔗 Ver Mapa")</f>
        <v>🔗 Ver Mapa</v>
      </c>
    </row>
    <row r="3245" spans="1:12" ht="43.5" x14ac:dyDescent="0.35">
      <c r="A3245" s="5" t="s">
        <v>359</v>
      </c>
      <c r="B3245" s="5" t="s">
        <v>360</v>
      </c>
      <c r="C3245" s="5" t="s">
        <v>373</v>
      </c>
      <c r="D3245" s="5" t="s">
        <v>31</v>
      </c>
      <c r="E3245" s="5" t="s">
        <v>362</v>
      </c>
      <c r="F3245" s="5" t="s">
        <v>363</v>
      </c>
      <c r="G3245" s="5" t="s">
        <v>364</v>
      </c>
      <c r="H3245" s="5" t="s">
        <v>365</v>
      </c>
      <c r="I3245" s="5" t="s">
        <v>63</v>
      </c>
      <c r="J3245" s="5">
        <v>17.458341000000001</v>
      </c>
      <c r="K3245" s="5">
        <v>-97.225285</v>
      </c>
      <c r="L3245" s="5" t="str">
        <f>HYPERLINK("https://maps.google.com/?q=17.458341,-97.225285", "🔗 Ver Mapa")</f>
        <v>🔗 Ver Mapa</v>
      </c>
    </row>
    <row r="3246" spans="1:12" ht="43.5" x14ac:dyDescent="0.35">
      <c r="A3246" s="6" t="s">
        <v>359</v>
      </c>
      <c r="B3246" s="6" t="s">
        <v>360</v>
      </c>
      <c r="C3246" s="6" t="s">
        <v>373</v>
      </c>
      <c r="D3246" s="6" t="s">
        <v>31</v>
      </c>
      <c r="E3246" s="6" t="s">
        <v>362</v>
      </c>
      <c r="F3246" s="6" t="s">
        <v>363</v>
      </c>
      <c r="G3246" s="6" t="s">
        <v>364</v>
      </c>
      <c r="H3246" s="6" t="s">
        <v>365</v>
      </c>
      <c r="I3246" s="6" t="s">
        <v>63</v>
      </c>
      <c r="J3246" s="6">
        <v>17.501442000000001</v>
      </c>
      <c r="K3246" s="6">
        <v>-98.142583999999999</v>
      </c>
      <c r="L3246" s="6" t="str">
        <f>HYPERLINK("https://maps.google.com/?q=17.501442,-98.142583999999999", "🔗 Ver Mapa")</f>
        <v>🔗 Ver Mapa</v>
      </c>
    </row>
    <row r="3247" spans="1:12" ht="43.5" x14ac:dyDescent="0.35">
      <c r="A3247" s="5" t="s">
        <v>359</v>
      </c>
      <c r="B3247" s="5" t="s">
        <v>360</v>
      </c>
      <c r="C3247" s="5" t="s">
        <v>373</v>
      </c>
      <c r="D3247" s="5" t="s">
        <v>31</v>
      </c>
      <c r="E3247" s="5" t="s">
        <v>362</v>
      </c>
      <c r="F3247" s="5" t="s">
        <v>363</v>
      </c>
      <c r="G3247" s="5" t="s">
        <v>364</v>
      </c>
      <c r="H3247" s="5" t="s">
        <v>365</v>
      </c>
      <c r="I3247" s="5" t="s">
        <v>63</v>
      </c>
      <c r="J3247" s="5">
        <v>17.511838000000001</v>
      </c>
      <c r="K3247" s="5">
        <v>-97.488547999999994</v>
      </c>
      <c r="L3247" s="5" t="str">
        <f>HYPERLINK("https://maps.google.com/?q=17.511838,-97.488547999999994", "🔗 Ver Mapa")</f>
        <v>🔗 Ver Mapa</v>
      </c>
    </row>
    <row r="3248" spans="1:12" ht="43.5" x14ac:dyDescent="0.35">
      <c r="A3248" s="6" t="s">
        <v>359</v>
      </c>
      <c r="B3248" s="6" t="s">
        <v>360</v>
      </c>
      <c r="C3248" s="6" t="s">
        <v>373</v>
      </c>
      <c r="D3248" s="6" t="s">
        <v>31</v>
      </c>
      <c r="E3248" s="6" t="s">
        <v>362</v>
      </c>
      <c r="F3248" s="6" t="s">
        <v>363</v>
      </c>
      <c r="G3248" s="6" t="s">
        <v>364</v>
      </c>
      <c r="H3248" s="6" t="s">
        <v>365</v>
      </c>
      <c r="I3248" s="6" t="s">
        <v>63</v>
      </c>
      <c r="J3248" s="6">
        <v>17.724615</v>
      </c>
      <c r="K3248" s="6">
        <v>-97.323898</v>
      </c>
      <c r="L3248" s="6" t="str">
        <f>HYPERLINK("https://maps.google.com/?q=17.724615,-97.323898", "🔗 Ver Mapa")</f>
        <v>🔗 Ver Mapa</v>
      </c>
    </row>
    <row r="3249" spans="1:12" ht="43.5" x14ac:dyDescent="0.35">
      <c r="A3249" s="5" t="s">
        <v>359</v>
      </c>
      <c r="B3249" s="5" t="s">
        <v>360</v>
      </c>
      <c r="C3249" s="5" t="s">
        <v>373</v>
      </c>
      <c r="D3249" s="5" t="s">
        <v>31</v>
      </c>
      <c r="E3249" s="5" t="s">
        <v>362</v>
      </c>
      <c r="F3249" s="5" t="s">
        <v>363</v>
      </c>
      <c r="G3249" s="5" t="s">
        <v>364</v>
      </c>
      <c r="H3249" s="5" t="s">
        <v>365</v>
      </c>
      <c r="I3249" s="5" t="s">
        <v>63</v>
      </c>
      <c r="J3249" s="5">
        <v>17.801687000000001</v>
      </c>
      <c r="K3249" s="5">
        <v>-96.959688</v>
      </c>
      <c r="L3249" s="5" t="str">
        <f>HYPERLINK("https://maps.google.com/?q=17.801687,-96.959688", "🔗 Ver Mapa")</f>
        <v>🔗 Ver Mapa</v>
      </c>
    </row>
    <row r="3250" spans="1:12" ht="43.5" x14ac:dyDescent="0.35">
      <c r="A3250" s="6" t="s">
        <v>359</v>
      </c>
      <c r="B3250" s="6" t="s">
        <v>360</v>
      </c>
      <c r="C3250" s="6" t="s">
        <v>373</v>
      </c>
      <c r="D3250" s="6" t="s">
        <v>31</v>
      </c>
      <c r="E3250" s="6" t="s">
        <v>362</v>
      </c>
      <c r="F3250" s="6" t="s">
        <v>363</v>
      </c>
      <c r="G3250" s="6" t="s">
        <v>364</v>
      </c>
      <c r="H3250" s="6" t="s">
        <v>365</v>
      </c>
      <c r="I3250" s="6" t="s">
        <v>63</v>
      </c>
      <c r="J3250" s="6">
        <v>17.806621</v>
      </c>
      <c r="K3250" s="6">
        <v>-97.776161999999999</v>
      </c>
      <c r="L3250" s="6" t="str">
        <f>HYPERLINK("https://maps.google.com/?q=17.806621,-97.776161999999999", "🔗 Ver Mapa")</f>
        <v>🔗 Ver Mapa</v>
      </c>
    </row>
    <row r="3251" spans="1:12" ht="43.5" x14ac:dyDescent="0.35">
      <c r="A3251" s="5" t="s">
        <v>359</v>
      </c>
      <c r="B3251" s="5" t="s">
        <v>360</v>
      </c>
      <c r="C3251" s="5" t="s">
        <v>373</v>
      </c>
      <c r="D3251" s="5" t="s">
        <v>31</v>
      </c>
      <c r="E3251" s="5" t="s">
        <v>362</v>
      </c>
      <c r="F3251" s="5" t="s">
        <v>363</v>
      </c>
      <c r="G3251" s="5" t="s">
        <v>364</v>
      </c>
      <c r="H3251" s="5" t="s">
        <v>365</v>
      </c>
      <c r="I3251" s="5" t="s">
        <v>63</v>
      </c>
      <c r="J3251" s="5">
        <v>18.081168999999999</v>
      </c>
      <c r="K3251" s="5">
        <v>-96.118475000000004</v>
      </c>
      <c r="L3251" s="5" t="str">
        <f>HYPERLINK("https://maps.google.com/?q=18.081169,-96.118475000000004", "🔗 Ver Mapa")</f>
        <v>🔗 Ver Mapa</v>
      </c>
    </row>
    <row r="3252" spans="1:12" ht="43.5" x14ac:dyDescent="0.35">
      <c r="A3252" s="6" t="s">
        <v>359</v>
      </c>
      <c r="B3252" s="6" t="s">
        <v>360</v>
      </c>
      <c r="C3252" s="6" t="s">
        <v>373</v>
      </c>
      <c r="D3252" s="6" t="s">
        <v>31</v>
      </c>
      <c r="E3252" s="6" t="s">
        <v>362</v>
      </c>
      <c r="F3252" s="6" t="s">
        <v>363</v>
      </c>
      <c r="G3252" s="6" t="s">
        <v>364</v>
      </c>
      <c r="H3252" s="6" t="s">
        <v>365</v>
      </c>
      <c r="I3252" s="6" t="s">
        <v>63</v>
      </c>
      <c r="J3252" s="6">
        <v>18.13222</v>
      </c>
      <c r="K3252" s="6">
        <v>-97.070751000000001</v>
      </c>
      <c r="L3252" s="6" t="str">
        <f>HYPERLINK("https://maps.google.com/?q=18.13222,-97.070751000000001", "🔗 Ver Mapa")</f>
        <v>🔗 Ver Mapa</v>
      </c>
    </row>
    <row r="3253" spans="1:12" ht="29" x14ac:dyDescent="0.35">
      <c r="A3253" s="5" t="s">
        <v>3</v>
      </c>
      <c r="B3253" s="5" t="s">
        <v>11</v>
      </c>
      <c r="C3253" s="5" t="s">
        <v>441</v>
      </c>
      <c r="D3253" s="5" t="s">
        <v>32</v>
      </c>
      <c r="E3253" s="5" t="s">
        <v>37</v>
      </c>
      <c r="F3253" s="5" t="s">
        <v>41</v>
      </c>
      <c r="G3253" s="5" t="s">
        <v>48</v>
      </c>
      <c r="H3253" s="5" t="s">
        <v>55</v>
      </c>
      <c r="I3253" s="5" t="s">
        <v>63</v>
      </c>
      <c r="J3253" s="5">
        <v>17.068498000000002</v>
      </c>
      <c r="K3253" s="5">
        <v>-96.720205000000007</v>
      </c>
      <c r="L3253" s="5" t="str">
        <f>HYPERLINK("https://maps.google.com/?q=17.068498,-96.720205", "🔗 Ver Mapa")</f>
        <v>🔗 Ver Mapa</v>
      </c>
    </row>
    <row r="3254" spans="1:12" ht="101.5" x14ac:dyDescent="0.35">
      <c r="A3254" s="6" t="s">
        <v>154</v>
      </c>
      <c r="B3254" s="6" t="s">
        <v>155</v>
      </c>
      <c r="C3254" s="6" t="s">
        <v>442</v>
      </c>
      <c r="D3254" s="6" t="s">
        <v>157</v>
      </c>
      <c r="E3254" s="6" t="s">
        <v>37</v>
      </c>
      <c r="F3254" s="6" t="s">
        <v>83</v>
      </c>
      <c r="G3254" s="6" t="s">
        <v>443</v>
      </c>
      <c r="H3254" s="6" t="s">
        <v>444</v>
      </c>
      <c r="I3254" s="6" t="s">
        <v>63</v>
      </c>
      <c r="J3254" s="6">
        <v>17.189005999999999</v>
      </c>
      <c r="K3254" s="6">
        <v>-96.856015999999997</v>
      </c>
      <c r="L3254" s="6" t="str">
        <f>HYPERLINK("https://maps.google.com/?q=17.189006,-96.856016", "🔗 Ver Mapa")</f>
        <v>🔗 Ver Mapa</v>
      </c>
    </row>
    <row r="3255" spans="1:12" ht="101.5" x14ac:dyDescent="0.35">
      <c r="A3255" s="5" t="s">
        <v>154</v>
      </c>
      <c r="B3255" s="5" t="s">
        <v>155</v>
      </c>
      <c r="C3255" s="5" t="s">
        <v>442</v>
      </c>
      <c r="D3255" s="5" t="s">
        <v>157</v>
      </c>
      <c r="E3255" s="5" t="s">
        <v>37</v>
      </c>
      <c r="F3255" s="5" t="s">
        <v>83</v>
      </c>
      <c r="G3255" s="5" t="s">
        <v>443</v>
      </c>
      <c r="H3255" s="5" t="s">
        <v>444</v>
      </c>
      <c r="I3255" s="5" t="s">
        <v>63</v>
      </c>
      <c r="J3255" s="5">
        <v>17.189125000000001</v>
      </c>
      <c r="K3255" s="5">
        <v>-96.855996000000005</v>
      </c>
      <c r="L3255" s="5" t="str">
        <f>HYPERLINK("https://maps.google.com/?q=17.189125,-96.855996", "🔗 Ver Mapa")</f>
        <v>🔗 Ver Mapa</v>
      </c>
    </row>
    <row r="3256" spans="1:12" ht="101.5" x14ac:dyDescent="0.35">
      <c r="A3256" s="6" t="s">
        <v>154</v>
      </c>
      <c r="B3256" s="6" t="s">
        <v>155</v>
      </c>
      <c r="C3256" s="6" t="s">
        <v>442</v>
      </c>
      <c r="D3256" s="6" t="s">
        <v>157</v>
      </c>
      <c r="E3256" s="6" t="s">
        <v>37</v>
      </c>
      <c r="F3256" s="6" t="s">
        <v>83</v>
      </c>
      <c r="G3256" s="6" t="s">
        <v>443</v>
      </c>
      <c r="H3256" s="6" t="s">
        <v>444</v>
      </c>
      <c r="I3256" s="6" t="s">
        <v>63</v>
      </c>
      <c r="J3256" s="6">
        <v>17.189392000000002</v>
      </c>
      <c r="K3256" s="6">
        <v>-96.855840000000001</v>
      </c>
      <c r="L3256" s="6" t="str">
        <f>HYPERLINK("https://maps.google.com/?q=17.189392,-96.855840", "🔗 Ver Mapa")</f>
        <v>🔗 Ver Mapa</v>
      </c>
    </row>
    <row r="3257" spans="1:12" ht="101.5" x14ac:dyDescent="0.35">
      <c r="A3257" s="5" t="s">
        <v>154</v>
      </c>
      <c r="B3257" s="5" t="s">
        <v>155</v>
      </c>
      <c r="C3257" s="5" t="s">
        <v>442</v>
      </c>
      <c r="D3257" s="5" t="s">
        <v>157</v>
      </c>
      <c r="E3257" s="5" t="s">
        <v>37</v>
      </c>
      <c r="F3257" s="5" t="s">
        <v>83</v>
      </c>
      <c r="G3257" s="5" t="s">
        <v>443</v>
      </c>
      <c r="H3257" s="5" t="s">
        <v>444</v>
      </c>
      <c r="I3257" s="5" t="s">
        <v>63</v>
      </c>
      <c r="J3257" s="5">
        <v>17.190007000000001</v>
      </c>
      <c r="K3257" s="5">
        <v>-96.848652999999999</v>
      </c>
      <c r="L3257" s="5" t="str">
        <f>HYPERLINK("https://maps.google.com/?q=17.190007,-96.848653", "🔗 Ver Mapa")</f>
        <v>🔗 Ver Mapa</v>
      </c>
    </row>
    <row r="3258" spans="1:12" ht="101.5" x14ac:dyDescent="0.35">
      <c r="A3258" s="6" t="s">
        <v>154</v>
      </c>
      <c r="B3258" s="6" t="s">
        <v>155</v>
      </c>
      <c r="C3258" s="6" t="s">
        <v>442</v>
      </c>
      <c r="D3258" s="6" t="s">
        <v>157</v>
      </c>
      <c r="E3258" s="6" t="s">
        <v>37</v>
      </c>
      <c r="F3258" s="6" t="s">
        <v>83</v>
      </c>
      <c r="G3258" s="6" t="s">
        <v>443</v>
      </c>
      <c r="H3258" s="6" t="s">
        <v>444</v>
      </c>
      <c r="I3258" s="6" t="s">
        <v>63</v>
      </c>
      <c r="J3258" s="6">
        <v>17.190268</v>
      </c>
      <c r="K3258" s="6">
        <v>-96.855513000000002</v>
      </c>
      <c r="L3258" s="6" t="str">
        <f>HYPERLINK("https://maps.google.com/?q=17.190268,-96.855513", "🔗 Ver Mapa")</f>
        <v>🔗 Ver Mapa</v>
      </c>
    </row>
    <row r="3259" spans="1:12" ht="101.5" x14ac:dyDescent="0.35">
      <c r="A3259" s="5" t="s">
        <v>154</v>
      </c>
      <c r="B3259" s="5" t="s">
        <v>155</v>
      </c>
      <c r="C3259" s="5" t="s">
        <v>442</v>
      </c>
      <c r="D3259" s="5" t="s">
        <v>157</v>
      </c>
      <c r="E3259" s="5" t="s">
        <v>37</v>
      </c>
      <c r="F3259" s="5" t="s">
        <v>83</v>
      </c>
      <c r="G3259" s="5" t="s">
        <v>443</v>
      </c>
      <c r="H3259" s="5" t="s">
        <v>444</v>
      </c>
      <c r="I3259" s="5" t="s">
        <v>63</v>
      </c>
      <c r="J3259" s="5">
        <v>17.191731999999998</v>
      </c>
      <c r="K3259" s="5">
        <v>-96.852581000000001</v>
      </c>
      <c r="L3259" s="5" t="str">
        <f>HYPERLINK("https://maps.google.com/?q=17.191732,-96.852581", "🔗 Ver Mapa")</f>
        <v>🔗 Ver Mapa</v>
      </c>
    </row>
    <row r="3260" spans="1:12" ht="101.5" x14ac:dyDescent="0.35">
      <c r="A3260" s="6" t="s">
        <v>154</v>
      </c>
      <c r="B3260" s="6" t="s">
        <v>155</v>
      </c>
      <c r="C3260" s="6" t="s">
        <v>442</v>
      </c>
      <c r="D3260" s="6" t="s">
        <v>157</v>
      </c>
      <c r="E3260" s="6" t="s">
        <v>37</v>
      </c>
      <c r="F3260" s="6" t="s">
        <v>83</v>
      </c>
      <c r="G3260" s="6" t="s">
        <v>443</v>
      </c>
      <c r="H3260" s="6" t="s">
        <v>444</v>
      </c>
      <c r="I3260" s="6" t="s">
        <v>63</v>
      </c>
      <c r="J3260" s="6">
        <v>17.192679999999999</v>
      </c>
      <c r="K3260" s="6">
        <v>-96.851209999999995</v>
      </c>
      <c r="L3260" s="6" t="str">
        <f>HYPERLINK("https://maps.google.com/?q=17.19268,-96.851210", "🔗 Ver Mapa")</f>
        <v>🔗 Ver Mapa</v>
      </c>
    </row>
    <row r="3261" spans="1:12" ht="87" x14ac:dyDescent="0.35">
      <c r="A3261" s="5" t="s">
        <v>154</v>
      </c>
      <c r="B3261" s="5" t="s">
        <v>155</v>
      </c>
      <c r="C3261" s="5" t="s">
        <v>445</v>
      </c>
      <c r="D3261" s="5" t="s">
        <v>157</v>
      </c>
      <c r="E3261" s="5" t="s">
        <v>38</v>
      </c>
      <c r="F3261" s="5" t="s">
        <v>43</v>
      </c>
      <c r="G3261" s="5" t="s">
        <v>309</v>
      </c>
      <c r="H3261" s="5" t="s">
        <v>446</v>
      </c>
      <c r="I3261" s="5" t="s">
        <v>63</v>
      </c>
      <c r="J3261" s="5">
        <v>15.819463000000001</v>
      </c>
      <c r="K3261" s="5">
        <v>-96.282843</v>
      </c>
      <c r="L3261" s="5" t="str">
        <f>HYPERLINK("https://maps.google.com/?q=15.819463,-96.282843", "🔗 Ver Mapa")</f>
        <v>🔗 Ver Mapa</v>
      </c>
    </row>
    <row r="3262" spans="1:12" ht="87" x14ac:dyDescent="0.35">
      <c r="A3262" s="6" t="s">
        <v>154</v>
      </c>
      <c r="B3262" s="6" t="s">
        <v>155</v>
      </c>
      <c r="C3262" s="6" t="s">
        <v>445</v>
      </c>
      <c r="D3262" s="6" t="s">
        <v>157</v>
      </c>
      <c r="E3262" s="6" t="s">
        <v>38</v>
      </c>
      <c r="F3262" s="6" t="s">
        <v>43</v>
      </c>
      <c r="G3262" s="6" t="s">
        <v>309</v>
      </c>
      <c r="H3262" s="6" t="s">
        <v>446</v>
      </c>
      <c r="I3262" s="6" t="s">
        <v>63</v>
      </c>
      <c r="J3262" s="6">
        <v>15.820237000000001</v>
      </c>
      <c r="K3262" s="6">
        <v>-96.281191000000007</v>
      </c>
      <c r="L3262" s="6" t="str">
        <f>HYPERLINK("https://maps.google.com/?q=15.820237,-96.281191", "🔗 Ver Mapa")</f>
        <v>🔗 Ver Mapa</v>
      </c>
    </row>
    <row r="3263" spans="1:12" ht="87" x14ac:dyDescent="0.35">
      <c r="A3263" s="5" t="s">
        <v>154</v>
      </c>
      <c r="B3263" s="5" t="s">
        <v>155</v>
      </c>
      <c r="C3263" s="5" t="s">
        <v>445</v>
      </c>
      <c r="D3263" s="5" t="s">
        <v>157</v>
      </c>
      <c r="E3263" s="5" t="s">
        <v>38</v>
      </c>
      <c r="F3263" s="5" t="s">
        <v>43</v>
      </c>
      <c r="G3263" s="5" t="s">
        <v>309</v>
      </c>
      <c r="H3263" s="5" t="s">
        <v>446</v>
      </c>
      <c r="I3263" s="5" t="s">
        <v>63</v>
      </c>
      <c r="J3263" s="5">
        <v>15.821262000000001</v>
      </c>
      <c r="K3263" s="5">
        <v>-96.271493000000007</v>
      </c>
      <c r="L3263" s="5" t="str">
        <f>HYPERLINK("https://maps.google.com/?q=15.821262,-96.271493", "🔗 Ver Mapa")</f>
        <v>🔗 Ver Mapa</v>
      </c>
    </row>
    <row r="3264" spans="1:12" ht="87" x14ac:dyDescent="0.35">
      <c r="A3264" s="6" t="s">
        <v>154</v>
      </c>
      <c r="B3264" s="6" t="s">
        <v>155</v>
      </c>
      <c r="C3264" s="6" t="s">
        <v>445</v>
      </c>
      <c r="D3264" s="6" t="s">
        <v>157</v>
      </c>
      <c r="E3264" s="6" t="s">
        <v>38</v>
      </c>
      <c r="F3264" s="6" t="s">
        <v>43</v>
      </c>
      <c r="G3264" s="6" t="s">
        <v>309</v>
      </c>
      <c r="H3264" s="6" t="s">
        <v>446</v>
      </c>
      <c r="I3264" s="6" t="s">
        <v>63</v>
      </c>
      <c r="J3264" s="6">
        <v>15.821802</v>
      </c>
      <c r="K3264" s="6">
        <v>-96.275135000000006</v>
      </c>
      <c r="L3264" s="6" t="str">
        <f>HYPERLINK("https://maps.google.com/?q=15.821802,-96.275135", "🔗 Ver Mapa")</f>
        <v>🔗 Ver Mapa</v>
      </c>
    </row>
    <row r="3265" spans="1:12" ht="87" x14ac:dyDescent="0.35">
      <c r="A3265" s="5" t="s">
        <v>154</v>
      </c>
      <c r="B3265" s="5" t="s">
        <v>155</v>
      </c>
      <c r="C3265" s="5" t="s">
        <v>445</v>
      </c>
      <c r="D3265" s="5" t="s">
        <v>157</v>
      </c>
      <c r="E3265" s="5" t="s">
        <v>38</v>
      </c>
      <c r="F3265" s="5" t="s">
        <v>43</v>
      </c>
      <c r="G3265" s="5" t="s">
        <v>309</v>
      </c>
      <c r="H3265" s="5" t="s">
        <v>446</v>
      </c>
      <c r="I3265" s="5" t="s">
        <v>63</v>
      </c>
      <c r="J3265" s="5">
        <v>15.826589999999999</v>
      </c>
      <c r="K3265" s="5">
        <v>-96.294466</v>
      </c>
      <c r="L3265" s="5" t="str">
        <f>HYPERLINK("https://maps.google.com/?q=15.82659,-96.294466", "🔗 Ver Mapa")</f>
        <v>🔗 Ver Mapa</v>
      </c>
    </row>
    <row r="3266" spans="1:12" ht="72.5" x14ac:dyDescent="0.35">
      <c r="A3266" s="6" t="s">
        <v>154</v>
      </c>
      <c r="B3266" s="6" t="s">
        <v>155</v>
      </c>
      <c r="C3266" s="6" t="s">
        <v>447</v>
      </c>
      <c r="D3266" s="6" t="s">
        <v>157</v>
      </c>
      <c r="E3266" s="6" t="s">
        <v>293</v>
      </c>
      <c r="F3266" s="6" t="s">
        <v>294</v>
      </c>
      <c r="G3266" s="6" t="s">
        <v>295</v>
      </c>
      <c r="H3266" s="6" t="s">
        <v>448</v>
      </c>
      <c r="I3266" s="6" t="s">
        <v>63</v>
      </c>
      <c r="J3266" s="6">
        <v>16.385490999999998</v>
      </c>
      <c r="K3266" s="6">
        <v>-96.589866999999998</v>
      </c>
      <c r="L3266" s="6" t="str">
        <f>HYPERLINK("https://maps.google.com/?q=16.385491,-96.589867", "🔗 Ver Mapa")</f>
        <v>🔗 Ver Mapa</v>
      </c>
    </row>
    <row r="3267" spans="1:12" ht="72.5" x14ac:dyDescent="0.35">
      <c r="A3267" s="5" t="s">
        <v>154</v>
      </c>
      <c r="B3267" s="5" t="s">
        <v>155</v>
      </c>
      <c r="C3267" s="5" t="s">
        <v>447</v>
      </c>
      <c r="D3267" s="5" t="s">
        <v>157</v>
      </c>
      <c r="E3267" s="5" t="s">
        <v>293</v>
      </c>
      <c r="F3267" s="5" t="s">
        <v>294</v>
      </c>
      <c r="G3267" s="5" t="s">
        <v>295</v>
      </c>
      <c r="H3267" s="5" t="s">
        <v>448</v>
      </c>
      <c r="I3267" s="5" t="s">
        <v>63</v>
      </c>
      <c r="J3267" s="5">
        <v>16.393798</v>
      </c>
      <c r="K3267" s="5">
        <v>-96.590361999999999</v>
      </c>
      <c r="L3267" s="5" t="str">
        <f>HYPERLINK("https://maps.google.com/?q=16.393798,-96.590362", "🔗 Ver Mapa")</f>
        <v>🔗 Ver Mapa</v>
      </c>
    </row>
    <row r="3268" spans="1:12" ht="72.5" x14ac:dyDescent="0.35">
      <c r="A3268" s="6" t="s">
        <v>154</v>
      </c>
      <c r="B3268" s="6" t="s">
        <v>155</v>
      </c>
      <c r="C3268" s="6" t="s">
        <v>447</v>
      </c>
      <c r="D3268" s="6" t="s">
        <v>157</v>
      </c>
      <c r="E3268" s="6" t="s">
        <v>293</v>
      </c>
      <c r="F3268" s="6" t="s">
        <v>294</v>
      </c>
      <c r="G3268" s="6" t="s">
        <v>295</v>
      </c>
      <c r="H3268" s="6" t="s">
        <v>448</v>
      </c>
      <c r="I3268" s="6" t="s">
        <v>63</v>
      </c>
      <c r="J3268" s="6">
        <v>16.401724999999999</v>
      </c>
      <c r="K3268" s="6">
        <v>-96.594133999999997</v>
      </c>
      <c r="L3268" s="6" t="str">
        <f>HYPERLINK("https://maps.google.com/?q=16.401725,-96.594134", "🔗 Ver Mapa")</f>
        <v>🔗 Ver Mapa</v>
      </c>
    </row>
    <row r="3269" spans="1:12" ht="72.5" x14ac:dyDescent="0.35">
      <c r="A3269" s="5" t="s">
        <v>154</v>
      </c>
      <c r="B3269" s="5" t="s">
        <v>155</v>
      </c>
      <c r="C3269" s="5" t="s">
        <v>449</v>
      </c>
      <c r="D3269" s="5" t="s">
        <v>157</v>
      </c>
      <c r="E3269" s="5" t="s">
        <v>339</v>
      </c>
      <c r="F3269" s="5" t="s">
        <v>353</v>
      </c>
      <c r="G3269" s="5" t="s">
        <v>450</v>
      </c>
      <c r="H3269" s="5" t="s">
        <v>451</v>
      </c>
      <c r="I3269" s="5" t="s">
        <v>63</v>
      </c>
      <c r="J3269" s="5">
        <v>18.056659</v>
      </c>
      <c r="K3269" s="5">
        <v>-96.997668000000004</v>
      </c>
      <c r="L3269" s="5" t="str">
        <f>HYPERLINK("https://maps.google.com/?q=18.056659,-96.997668", "🔗 Ver Mapa")</f>
        <v>🔗 Ver Mapa</v>
      </c>
    </row>
    <row r="3270" spans="1:12" ht="72.5" x14ac:dyDescent="0.35">
      <c r="A3270" s="6" t="s">
        <v>154</v>
      </c>
      <c r="B3270" s="6" t="s">
        <v>155</v>
      </c>
      <c r="C3270" s="6" t="s">
        <v>449</v>
      </c>
      <c r="D3270" s="6" t="s">
        <v>157</v>
      </c>
      <c r="E3270" s="6" t="s">
        <v>339</v>
      </c>
      <c r="F3270" s="6" t="s">
        <v>353</v>
      </c>
      <c r="G3270" s="6" t="s">
        <v>450</v>
      </c>
      <c r="H3270" s="6" t="s">
        <v>451</v>
      </c>
      <c r="I3270" s="6" t="s">
        <v>63</v>
      </c>
      <c r="J3270" s="6">
        <v>18.057279999999999</v>
      </c>
      <c r="K3270" s="6">
        <v>-96.99306</v>
      </c>
      <c r="L3270" s="6" t="str">
        <f>HYPERLINK("https://maps.google.com/?q=18.05728,-96.993060", "🔗 Ver Mapa")</f>
        <v>🔗 Ver Mapa</v>
      </c>
    </row>
    <row r="3271" spans="1:12" ht="72.5" x14ac:dyDescent="0.35">
      <c r="A3271" s="5" t="s">
        <v>154</v>
      </c>
      <c r="B3271" s="5" t="s">
        <v>155</v>
      </c>
      <c r="C3271" s="5" t="s">
        <v>449</v>
      </c>
      <c r="D3271" s="5" t="s">
        <v>157</v>
      </c>
      <c r="E3271" s="5" t="s">
        <v>339</v>
      </c>
      <c r="F3271" s="5" t="s">
        <v>353</v>
      </c>
      <c r="G3271" s="5" t="s">
        <v>450</v>
      </c>
      <c r="H3271" s="5" t="s">
        <v>451</v>
      </c>
      <c r="I3271" s="5" t="s">
        <v>63</v>
      </c>
      <c r="J3271" s="5">
        <v>18.059722000000001</v>
      </c>
      <c r="K3271" s="5">
        <v>-96.991923</v>
      </c>
      <c r="L3271" s="5" t="str">
        <f>HYPERLINK("https://maps.google.com/?q=18.059722,-96.991923", "🔗 Ver Mapa")</f>
        <v>🔗 Ver Mapa</v>
      </c>
    </row>
    <row r="3272" spans="1:12" ht="72.5" x14ac:dyDescent="0.35">
      <c r="A3272" s="6" t="s">
        <v>154</v>
      </c>
      <c r="B3272" s="6" t="s">
        <v>155</v>
      </c>
      <c r="C3272" s="6" t="s">
        <v>452</v>
      </c>
      <c r="D3272" s="6" t="s">
        <v>157</v>
      </c>
      <c r="E3272" s="6" t="s">
        <v>39</v>
      </c>
      <c r="F3272" s="6" t="s">
        <v>162</v>
      </c>
      <c r="G3272" s="6" t="s">
        <v>453</v>
      </c>
      <c r="H3272" s="6" t="s">
        <v>454</v>
      </c>
      <c r="I3272" s="6" t="s">
        <v>63</v>
      </c>
      <c r="J3272" s="6">
        <v>16.383835000000001</v>
      </c>
      <c r="K3272" s="6">
        <v>-94.331835999999996</v>
      </c>
      <c r="L3272" s="6" t="str">
        <f>HYPERLINK("https://maps.google.com/?q=16.383835,-94.331836", "🔗 Ver Mapa")</f>
        <v>🔗 Ver Mapa</v>
      </c>
    </row>
    <row r="3273" spans="1:12" ht="72.5" x14ac:dyDescent="0.35">
      <c r="A3273" s="5" t="s">
        <v>154</v>
      </c>
      <c r="B3273" s="5" t="s">
        <v>155</v>
      </c>
      <c r="C3273" s="5" t="s">
        <v>452</v>
      </c>
      <c r="D3273" s="5" t="s">
        <v>157</v>
      </c>
      <c r="E3273" s="5" t="s">
        <v>39</v>
      </c>
      <c r="F3273" s="5" t="s">
        <v>162</v>
      </c>
      <c r="G3273" s="5" t="s">
        <v>453</v>
      </c>
      <c r="H3273" s="5" t="s">
        <v>454</v>
      </c>
      <c r="I3273" s="5" t="s">
        <v>63</v>
      </c>
      <c r="J3273" s="5">
        <v>16.386531000000002</v>
      </c>
      <c r="K3273" s="5">
        <v>-94.323611999999997</v>
      </c>
      <c r="L3273" s="5" t="str">
        <f>HYPERLINK("https://maps.google.com/?q=16.386531,-94.323612", "🔗 Ver Mapa")</f>
        <v>🔗 Ver Mapa</v>
      </c>
    </row>
    <row r="3274" spans="1:12" ht="72.5" x14ac:dyDescent="0.35">
      <c r="A3274" s="6" t="s">
        <v>154</v>
      </c>
      <c r="B3274" s="6" t="s">
        <v>155</v>
      </c>
      <c r="C3274" s="6" t="s">
        <v>452</v>
      </c>
      <c r="D3274" s="6" t="s">
        <v>157</v>
      </c>
      <c r="E3274" s="6" t="s">
        <v>39</v>
      </c>
      <c r="F3274" s="6" t="s">
        <v>162</v>
      </c>
      <c r="G3274" s="6" t="s">
        <v>453</v>
      </c>
      <c r="H3274" s="6" t="s">
        <v>454</v>
      </c>
      <c r="I3274" s="6" t="s">
        <v>63</v>
      </c>
      <c r="J3274" s="6">
        <v>16.402933000000001</v>
      </c>
      <c r="K3274" s="6">
        <v>-94.325124000000002</v>
      </c>
      <c r="L3274" s="6" t="str">
        <f>HYPERLINK("https://maps.google.com/?q=16.402933,-94.325124", "🔗 Ver Mapa")</f>
        <v>🔗 Ver Mapa</v>
      </c>
    </row>
    <row r="3275" spans="1:12" ht="72.5" x14ac:dyDescent="0.35">
      <c r="A3275" s="5" t="s">
        <v>154</v>
      </c>
      <c r="B3275" s="5" t="s">
        <v>155</v>
      </c>
      <c r="C3275" s="5" t="s">
        <v>455</v>
      </c>
      <c r="D3275" s="5" t="s">
        <v>157</v>
      </c>
      <c r="E3275" s="5" t="s">
        <v>339</v>
      </c>
      <c r="F3275" s="5" t="s">
        <v>353</v>
      </c>
      <c r="G3275" s="5" t="s">
        <v>456</v>
      </c>
      <c r="H3275" s="5" t="s">
        <v>457</v>
      </c>
      <c r="I3275" s="5" t="s">
        <v>63</v>
      </c>
      <c r="J3275" s="5">
        <v>18.116835999999999</v>
      </c>
      <c r="K3275" s="5">
        <v>-97.087592999999998</v>
      </c>
      <c r="L3275" s="5" t="str">
        <f>HYPERLINK("https://maps.google.com/?q=18.116836,-97.087593", "🔗 Ver Mapa")</f>
        <v>🔗 Ver Mapa</v>
      </c>
    </row>
    <row r="3276" spans="1:12" ht="72.5" x14ac:dyDescent="0.35">
      <c r="A3276" s="6" t="s">
        <v>154</v>
      </c>
      <c r="B3276" s="6" t="s">
        <v>155</v>
      </c>
      <c r="C3276" s="6" t="s">
        <v>455</v>
      </c>
      <c r="D3276" s="6" t="s">
        <v>157</v>
      </c>
      <c r="E3276" s="6" t="s">
        <v>339</v>
      </c>
      <c r="F3276" s="6" t="s">
        <v>353</v>
      </c>
      <c r="G3276" s="6" t="s">
        <v>456</v>
      </c>
      <c r="H3276" s="6" t="s">
        <v>457</v>
      </c>
      <c r="I3276" s="6" t="s">
        <v>63</v>
      </c>
      <c r="J3276" s="6">
        <v>18.119229000000001</v>
      </c>
      <c r="K3276" s="6">
        <v>-97.084851999999998</v>
      </c>
      <c r="L3276" s="6" t="str">
        <f>HYPERLINK("https://maps.google.com/?q=18.119229,-97.084852", "🔗 Ver Mapa")</f>
        <v>🔗 Ver Mapa</v>
      </c>
    </row>
    <row r="3277" spans="1:12" ht="72.5" x14ac:dyDescent="0.35">
      <c r="A3277" s="5" t="s">
        <v>154</v>
      </c>
      <c r="B3277" s="5" t="s">
        <v>155</v>
      </c>
      <c r="C3277" s="5" t="s">
        <v>455</v>
      </c>
      <c r="D3277" s="5" t="s">
        <v>157</v>
      </c>
      <c r="E3277" s="5" t="s">
        <v>339</v>
      </c>
      <c r="F3277" s="5" t="s">
        <v>353</v>
      </c>
      <c r="G3277" s="5" t="s">
        <v>456</v>
      </c>
      <c r="H3277" s="5" t="s">
        <v>457</v>
      </c>
      <c r="I3277" s="5" t="s">
        <v>63</v>
      </c>
      <c r="J3277" s="5">
        <v>18.119292999999999</v>
      </c>
      <c r="K3277" s="5" t="s">
        <v>458</v>
      </c>
      <c r="L3277" s="5" t="str">
        <f>HYPERLINK("https://maps.google.com/?q=18.119293,	-97.084786", "🔗 Ver Mapa")</f>
        <v>🔗 Ver Mapa</v>
      </c>
    </row>
    <row r="3278" spans="1:12" ht="72.5" x14ac:dyDescent="0.35">
      <c r="A3278" s="6" t="s">
        <v>154</v>
      </c>
      <c r="B3278" s="6" t="s">
        <v>155</v>
      </c>
      <c r="C3278" s="6" t="s">
        <v>455</v>
      </c>
      <c r="D3278" s="6" t="s">
        <v>157</v>
      </c>
      <c r="E3278" s="6" t="s">
        <v>339</v>
      </c>
      <c r="F3278" s="6" t="s">
        <v>353</v>
      </c>
      <c r="G3278" s="6" t="s">
        <v>456</v>
      </c>
      <c r="H3278" s="6" t="s">
        <v>457</v>
      </c>
      <c r="I3278" s="6" t="s">
        <v>63</v>
      </c>
      <c r="J3278" s="6">
        <v>18.120407</v>
      </c>
      <c r="K3278" s="6">
        <v>-97.083558999999994</v>
      </c>
      <c r="L3278" s="6" t="str">
        <f>HYPERLINK("https://maps.google.com/?q=18.120407,-97.083559", "🔗 Ver Mapa")</f>
        <v>🔗 Ver Mapa</v>
      </c>
    </row>
    <row r="3279" spans="1:12" ht="72.5" x14ac:dyDescent="0.35">
      <c r="A3279" s="5" t="s">
        <v>154</v>
      </c>
      <c r="B3279" s="5" t="s">
        <v>155</v>
      </c>
      <c r="C3279" s="5" t="s">
        <v>455</v>
      </c>
      <c r="D3279" s="5" t="s">
        <v>157</v>
      </c>
      <c r="E3279" s="5" t="s">
        <v>339</v>
      </c>
      <c r="F3279" s="5" t="s">
        <v>353</v>
      </c>
      <c r="G3279" s="5" t="s">
        <v>456</v>
      </c>
      <c r="H3279" s="5" t="s">
        <v>457</v>
      </c>
      <c r="I3279" s="5" t="s">
        <v>63</v>
      </c>
      <c r="J3279" s="5">
        <v>18.124555999999998</v>
      </c>
      <c r="K3279" s="5" t="s">
        <v>459</v>
      </c>
      <c r="L3279" s="5" t="str">
        <f>HYPERLINK("https://maps.google.com/?q=18.124556,	-97.079059", "🔗 Ver Mapa")</f>
        <v>🔗 Ver Mapa</v>
      </c>
    </row>
    <row r="3280" spans="1:12" ht="72.5" x14ac:dyDescent="0.35">
      <c r="A3280" s="6" t="s">
        <v>154</v>
      </c>
      <c r="B3280" s="6" t="s">
        <v>155</v>
      </c>
      <c r="C3280" s="6" t="s">
        <v>455</v>
      </c>
      <c r="D3280" s="6" t="s">
        <v>157</v>
      </c>
      <c r="E3280" s="6" t="s">
        <v>339</v>
      </c>
      <c r="F3280" s="6" t="s">
        <v>353</v>
      </c>
      <c r="G3280" s="6" t="s">
        <v>456</v>
      </c>
      <c r="H3280" s="6" t="s">
        <v>457</v>
      </c>
      <c r="I3280" s="6" t="s">
        <v>63</v>
      </c>
      <c r="J3280" s="6">
        <v>18.126261</v>
      </c>
      <c r="K3280" s="6">
        <v>-97.076295999999999</v>
      </c>
      <c r="L3280" s="6" t="str">
        <f>HYPERLINK("https://maps.google.com/?q=18.126261,-97.076296", "🔗 Ver Mapa")</f>
        <v>🔗 Ver Mapa</v>
      </c>
    </row>
    <row r="3281" spans="1:12" ht="72.5" x14ac:dyDescent="0.35">
      <c r="A3281" s="5" t="s">
        <v>154</v>
      </c>
      <c r="B3281" s="5" t="s">
        <v>155</v>
      </c>
      <c r="C3281" s="5" t="s">
        <v>460</v>
      </c>
      <c r="D3281" s="5" t="s">
        <v>157</v>
      </c>
      <c r="E3281" s="5" t="s">
        <v>37</v>
      </c>
      <c r="F3281" s="5" t="s">
        <v>253</v>
      </c>
      <c r="G3281" s="5" t="s">
        <v>290</v>
      </c>
      <c r="H3281" s="5" t="s">
        <v>461</v>
      </c>
      <c r="I3281" s="5" t="s">
        <v>63</v>
      </c>
      <c r="J3281" s="5">
        <v>16.798005</v>
      </c>
      <c r="K3281" s="5">
        <v>-97.072868999999997</v>
      </c>
      <c r="L3281" s="5" t="str">
        <f>HYPERLINK("https://maps.google.com/?q=16.798005,-97.072869", "🔗 Ver Mapa")</f>
        <v>🔗 Ver Mapa</v>
      </c>
    </row>
    <row r="3282" spans="1:12" ht="72.5" x14ac:dyDescent="0.35">
      <c r="A3282" s="6" t="s">
        <v>154</v>
      </c>
      <c r="B3282" s="6" t="s">
        <v>155</v>
      </c>
      <c r="C3282" s="6" t="s">
        <v>460</v>
      </c>
      <c r="D3282" s="6" t="s">
        <v>157</v>
      </c>
      <c r="E3282" s="6" t="s">
        <v>37</v>
      </c>
      <c r="F3282" s="6" t="s">
        <v>253</v>
      </c>
      <c r="G3282" s="6" t="s">
        <v>290</v>
      </c>
      <c r="H3282" s="6" t="s">
        <v>461</v>
      </c>
      <c r="I3282" s="6" t="s">
        <v>63</v>
      </c>
      <c r="J3282" s="6">
        <v>16.799751000000001</v>
      </c>
      <c r="K3282" s="6">
        <v>-97.068641</v>
      </c>
      <c r="L3282" s="6" t="str">
        <f>HYPERLINK("https://maps.google.com/?q=16.799751,-97.068641", "🔗 Ver Mapa")</f>
        <v>🔗 Ver Mapa</v>
      </c>
    </row>
    <row r="3283" spans="1:12" ht="72.5" x14ac:dyDescent="0.35">
      <c r="A3283" s="5" t="s">
        <v>154</v>
      </c>
      <c r="B3283" s="5" t="s">
        <v>155</v>
      </c>
      <c r="C3283" s="5" t="s">
        <v>460</v>
      </c>
      <c r="D3283" s="5" t="s">
        <v>157</v>
      </c>
      <c r="E3283" s="5" t="s">
        <v>37</v>
      </c>
      <c r="F3283" s="5" t="s">
        <v>253</v>
      </c>
      <c r="G3283" s="5" t="s">
        <v>290</v>
      </c>
      <c r="H3283" s="5" t="s">
        <v>461</v>
      </c>
      <c r="I3283" s="5" t="s">
        <v>63</v>
      </c>
      <c r="J3283" s="5">
        <v>16.801449999999999</v>
      </c>
      <c r="K3283" s="5">
        <v>-97.064475999999999</v>
      </c>
      <c r="L3283" s="5" t="str">
        <f>HYPERLINK("https://maps.google.com/?q=16.80145,-97.064476", "🔗 Ver Mapa")</f>
        <v>🔗 Ver Mapa</v>
      </c>
    </row>
    <row r="3284" spans="1:12" ht="72.5" x14ac:dyDescent="0.35">
      <c r="A3284" s="6" t="s">
        <v>154</v>
      </c>
      <c r="B3284" s="6" t="s">
        <v>155</v>
      </c>
      <c r="C3284" s="6" t="s">
        <v>462</v>
      </c>
      <c r="D3284" s="6" t="s">
        <v>157</v>
      </c>
      <c r="E3284" s="6" t="s">
        <v>339</v>
      </c>
      <c r="F3284" s="6" t="s">
        <v>353</v>
      </c>
      <c r="G3284" s="6" t="s">
        <v>463</v>
      </c>
      <c r="H3284" s="6" t="s">
        <v>464</v>
      </c>
      <c r="I3284" s="6" t="s">
        <v>63</v>
      </c>
      <c r="J3284" s="6">
        <v>18.220003999999999</v>
      </c>
      <c r="K3284" s="6">
        <v>-96.760210000000001</v>
      </c>
      <c r="L3284" s="6" t="str">
        <f>HYPERLINK("https://maps.google.com/?q=18.220004,-96.760210", "🔗 Ver Mapa")</f>
        <v>🔗 Ver Mapa</v>
      </c>
    </row>
    <row r="3285" spans="1:12" ht="72.5" x14ac:dyDescent="0.35">
      <c r="A3285" s="5" t="s">
        <v>154</v>
      </c>
      <c r="B3285" s="5" t="s">
        <v>155</v>
      </c>
      <c r="C3285" s="5" t="s">
        <v>462</v>
      </c>
      <c r="D3285" s="5" t="s">
        <v>157</v>
      </c>
      <c r="E3285" s="5" t="s">
        <v>339</v>
      </c>
      <c r="F3285" s="5" t="s">
        <v>353</v>
      </c>
      <c r="G3285" s="5" t="s">
        <v>463</v>
      </c>
      <c r="H3285" s="5" t="s">
        <v>464</v>
      </c>
      <c r="I3285" s="5" t="s">
        <v>63</v>
      </c>
      <c r="J3285" s="5">
        <v>18.221170000000001</v>
      </c>
      <c r="K3285" s="5">
        <v>-96.762214999999998</v>
      </c>
      <c r="L3285" s="5" t="str">
        <f>HYPERLINK("https://maps.google.com/?q=18.22117,-96.762215", "🔗 Ver Mapa")</f>
        <v>🔗 Ver Mapa</v>
      </c>
    </row>
    <row r="3286" spans="1:12" ht="72.5" x14ac:dyDescent="0.35">
      <c r="A3286" s="6" t="s">
        <v>154</v>
      </c>
      <c r="B3286" s="6" t="s">
        <v>155</v>
      </c>
      <c r="C3286" s="6" t="s">
        <v>462</v>
      </c>
      <c r="D3286" s="6" t="s">
        <v>157</v>
      </c>
      <c r="E3286" s="6" t="s">
        <v>339</v>
      </c>
      <c r="F3286" s="6" t="s">
        <v>353</v>
      </c>
      <c r="G3286" s="6" t="s">
        <v>463</v>
      </c>
      <c r="H3286" s="6" t="s">
        <v>464</v>
      </c>
      <c r="I3286" s="6" t="s">
        <v>63</v>
      </c>
      <c r="J3286" s="6">
        <v>18.222818</v>
      </c>
      <c r="K3286" s="6">
        <v>-96.758959000000004</v>
      </c>
      <c r="L3286" s="6" t="str">
        <f>HYPERLINK("https://maps.google.com/?q=18.222818,-96.758959", "🔗 Ver Mapa")</f>
        <v>🔗 Ver Mapa</v>
      </c>
    </row>
    <row r="3287" spans="1:12" ht="72.5" x14ac:dyDescent="0.35">
      <c r="A3287" s="5" t="s">
        <v>154</v>
      </c>
      <c r="B3287" s="5" t="s">
        <v>155</v>
      </c>
      <c r="C3287" s="5" t="s">
        <v>465</v>
      </c>
      <c r="D3287" s="5" t="s">
        <v>157</v>
      </c>
      <c r="E3287" s="5" t="s">
        <v>312</v>
      </c>
      <c r="F3287" s="5" t="s">
        <v>313</v>
      </c>
      <c r="G3287" s="5" t="s">
        <v>314</v>
      </c>
      <c r="H3287" s="5" t="s">
        <v>466</v>
      </c>
      <c r="I3287" s="5" t="s">
        <v>63</v>
      </c>
      <c r="J3287" s="5">
        <v>17.770171000000001</v>
      </c>
      <c r="K3287" s="5">
        <v>-96.329151999999993</v>
      </c>
      <c r="L3287" s="5" t="str">
        <f>HYPERLINK("https://maps.google.com/?q=17.770171,-96.329152", "🔗 Ver Mapa")</f>
        <v>🔗 Ver Mapa</v>
      </c>
    </row>
    <row r="3288" spans="1:12" ht="72.5" x14ac:dyDescent="0.35">
      <c r="A3288" s="6" t="s">
        <v>154</v>
      </c>
      <c r="B3288" s="6" t="s">
        <v>155</v>
      </c>
      <c r="C3288" s="6" t="s">
        <v>465</v>
      </c>
      <c r="D3288" s="6" t="s">
        <v>157</v>
      </c>
      <c r="E3288" s="6" t="s">
        <v>312</v>
      </c>
      <c r="F3288" s="6" t="s">
        <v>313</v>
      </c>
      <c r="G3288" s="6" t="s">
        <v>314</v>
      </c>
      <c r="H3288" s="6" t="s">
        <v>466</v>
      </c>
      <c r="I3288" s="6" t="s">
        <v>63</v>
      </c>
      <c r="J3288" s="6">
        <v>17.772327000000001</v>
      </c>
      <c r="K3288" s="6">
        <v>-96.327107999999996</v>
      </c>
      <c r="L3288" s="6" t="str">
        <f>HYPERLINK("https://maps.google.com/?q=17.772327,-96.327108", "🔗 Ver Mapa")</f>
        <v>🔗 Ver Mapa</v>
      </c>
    </row>
    <row r="3289" spans="1:12" ht="72.5" x14ac:dyDescent="0.35">
      <c r="A3289" s="5" t="s">
        <v>154</v>
      </c>
      <c r="B3289" s="5" t="s">
        <v>155</v>
      </c>
      <c r="C3289" s="5" t="s">
        <v>465</v>
      </c>
      <c r="D3289" s="5" t="s">
        <v>157</v>
      </c>
      <c r="E3289" s="5" t="s">
        <v>312</v>
      </c>
      <c r="F3289" s="5" t="s">
        <v>313</v>
      </c>
      <c r="G3289" s="5" t="s">
        <v>314</v>
      </c>
      <c r="H3289" s="5" t="s">
        <v>466</v>
      </c>
      <c r="I3289" s="5" t="s">
        <v>63</v>
      </c>
      <c r="J3289" s="5">
        <v>17.774771000000001</v>
      </c>
      <c r="K3289" s="5">
        <v>-96.326058000000003</v>
      </c>
      <c r="L3289" s="5" t="str">
        <f>HYPERLINK("https://maps.google.com/?q=17.774771,-96.326058", "🔗 Ver Mapa")</f>
        <v>🔗 Ver Mapa</v>
      </c>
    </row>
    <row r="3290" spans="1:12" ht="58" x14ac:dyDescent="0.35">
      <c r="A3290" s="6" t="s">
        <v>154</v>
      </c>
      <c r="B3290" s="6" t="s">
        <v>155</v>
      </c>
      <c r="C3290" s="6" t="s">
        <v>467</v>
      </c>
      <c r="D3290" s="6" t="s">
        <v>157</v>
      </c>
      <c r="E3290" s="6" t="s">
        <v>39</v>
      </c>
      <c r="F3290" s="6" t="s">
        <v>162</v>
      </c>
      <c r="G3290" s="6" t="s">
        <v>468</v>
      </c>
      <c r="H3290" s="6" t="s">
        <v>469</v>
      </c>
      <c r="I3290" s="6" t="s">
        <v>63</v>
      </c>
      <c r="J3290" s="6">
        <v>16.522148999999999</v>
      </c>
      <c r="K3290" s="6">
        <v>-94.518799000000001</v>
      </c>
      <c r="L3290" s="6" t="str">
        <f>HYPERLINK("https://maps.google.com/?q=16.522149,-94.518799", "🔗 Ver Mapa")</f>
        <v>🔗 Ver Mapa</v>
      </c>
    </row>
    <row r="3291" spans="1:12" ht="58" x14ac:dyDescent="0.35">
      <c r="A3291" s="5" t="s">
        <v>154</v>
      </c>
      <c r="B3291" s="5" t="s">
        <v>155</v>
      </c>
      <c r="C3291" s="5" t="s">
        <v>467</v>
      </c>
      <c r="D3291" s="5" t="s">
        <v>157</v>
      </c>
      <c r="E3291" s="5" t="s">
        <v>39</v>
      </c>
      <c r="F3291" s="5" t="s">
        <v>162</v>
      </c>
      <c r="G3291" s="5" t="s">
        <v>468</v>
      </c>
      <c r="H3291" s="5" t="s">
        <v>469</v>
      </c>
      <c r="I3291" s="5" t="s">
        <v>63</v>
      </c>
      <c r="J3291" s="5">
        <v>16.529347000000001</v>
      </c>
      <c r="K3291" s="5">
        <v>-94.516461000000007</v>
      </c>
      <c r="L3291" s="5" t="str">
        <f>HYPERLINK("https://maps.google.com/?q=16.529347,-94.516461", "🔗 Ver Mapa")</f>
        <v>🔗 Ver Mapa</v>
      </c>
    </row>
    <row r="3292" spans="1:12" ht="58" x14ac:dyDescent="0.35">
      <c r="A3292" s="6" t="s">
        <v>154</v>
      </c>
      <c r="B3292" s="6" t="s">
        <v>155</v>
      </c>
      <c r="C3292" s="6" t="s">
        <v>467</v>
      </c>
      <c r="D3292" s="6" t="s">
        <v>157</v>
      </c>
      <c r="E3292" s="6" t="s">
        <v>39</v>
      </c>
      <c r="F3292" s="6" t="s">
        <v>162</v>
      </c>
      <c r="G3292" s="6" t="s">
        <v>468</v>
      </c>
      <c r="H3292" s="6" t="s">
        <v>469</v>
      </c>
      <c r="I3292" s="6" t="s">
        <v>63</v>
      </c>
      <c r="J3292" s="6">
        <v>16.536511000000001</v>
      </c>
      <c r="K3292" s="6">
        <v>-94.513158000000004</v>
      </c>
      <c r="L3292" s="6" t="str">
        <f>HYPERLINK("https://maps.google.com/?q=16.536511,-94.513158", "🔗 Ver Mapa")</f>
        <v>🔗 Ver Mapa</v>
      </c>
    </row>
    <row r="3293" spans="1:12" ht="58" x14ac:dyDescent="0.35">
      <c r="A3293" s="5" t="s">
        <v>154</v>
      </c>
      <c r="B3293" s="5" t="s">
        <v>155</v>
      </c>
      <c r="C3293" s="5" t="s">
        <v>470</v>
      </c>
      <c r="D3293" s="5" t="s">
        <v>157</v>
      </c>
      <c r="E3293" s="5" t="s">
        <v>39</v>
      </c>
      <c r="F3293" s="5" t="s">
        <v>162</v>
      </c>
      <c r="G3293" s="5" t="s">
        <v>471</v>
      </c>
      <c r="H3293" s="5" t="s">
        <v>472</v>
      </c>
      <c r="I3293" s="5" t="s">
        <v>63</v>
      </c>
      <c r="J3293" s="5">
        <v>16.275552999999999</v>
      </c>
      <c r="K3293" s="5">
        <v>-94.462515999999994</v>
      </c>
      <c r="L3293" s="5" t="str">
        <f>HYPERLINK("https://maps.google.com/?q=16.275553,-94.462516", "🔗 Ver Mapa")</f>
        <v>🔗 Ver Mapa</v>
      </c>
    </row>
    <row r="3294" spans="1:12" ht="58" x14ac:dyDescent="0.35">
      <c r="A3294" s="6" t="s">
        <v>154</v>
      </c>
      <c r="B3294" s="6" t="s">
        <v>155</v>
      </c>
      <c r="C3294" s="6" t="s">
        <v>470</v>
      </c>
      <c r="D3294" s="6" t="s">
        <v>157</v>
      </c>
      <c r="E3294" s="6" t="s">
        <v>39</v>
      </c>
      <c r="F3294" s="6" t="s">
        <v>162</v>
      </c>
      <c r="G3294" s="6" t="s">
        <v>471</v>
      </c>
      <c r="H3294" s="6" t="s">
        <v>472</v>
      </c>
      <c r="I3294" s="6" t="s">
        <v>63</v>
      </c>
      <c r="J3294" s="6">
        <v>16.280083000000001</v>
      </c>
      <c r="K3294" s="6">
        <v>-94.470613</v>
      </c>
      <c r="L3294" s="6" t="str">
        <f>HYPERLINK("https://maps.google.com/?q=16.280083,-94.470613", "🔗 Ver Mapa")</f>
        <v>🔗 Ver Mapa</v>
      </c>
    </row>
    <row r="3295" spans="1:12" ht="58" x14ac:dyDescent="0.35">
      <c r="A3295" s="5" t="s">
        <v>154</v>
      </c>
      <c r="B3295" s="5" t="s">
        <v>155</v>
      </c>
      <c r="C3295" s="5" t="s">
        <v>470</v>
      </c>
      <c r="D3295" s="5" t="s">
        <v>157</v>
      </c>
      <c r="E3295" s="5" t="s">
        <v>39</v>
      </c>
      <c r="F3295" s="5" t="s">
        <v>162</v>
      </c>
      <c r="G3295" s="5" t="s">
        <v>471</v>
      </c>
      <c r="H3295" s="5" t="s">
        <v>472</v>
      </c>
      <c r="I3295" s="5" t="s">
        <v>63</v>
      </c>
      <c r="J3295" s="5">
        <v>16.284783999999998</v>
      </c>
      <c r="K3295" s="5">
        <v>-94.478969000000006</v>
      </c>
      <c r="L3295" s="5" t="str">
        <f>HYPERLINK("https://maps.google.com/?q=16.284784,-94.478969", "🔗 Ver Mapa")</f>
        <v>🔗 Ver Mapa</v>
      </c>
    </row>
    <row r="3297" spans="1:12" ht="20" customHeight="1" x14ac:dyDescent="0.35"/>
    <row r="3298" spans="1:12" ht="20" customHeight="1" x14ac:dyDescent="0.35">
      <c r="A3298" s="8" t="s">
        <v>473</v>
      </c>
      <c r="B3298" s="9"/>
      <c r="C3298" s="9"/>
      <c r="D3298" s="9"/>
      <c r="E3298" s="9"/>
      <c r="F3298" s="9"/>
      <c r="G3298" s="9"/>
      <c r="H3298" s="9"/>
      <c r="I3298" s="9"/>
      <c r="J3298" s="9"/>
      <c r="K3298" s="9"/>
    </row>
    <row r="3299" spans="1:12" ht="20" customHeight="1" x14ac:dyDescent="0.35">
      <c r="A3299" s="10" t="s">
        <v>474</v>
      </c>
      <c r="B3299" s="9"/>
      <c r="C3299" s="9"/>
      <c r="D3299" s="9"/>
      <c r="E3299" s="9"/>
      <c r="F3299" s="9"/>
      <c r="G3299" s="9"/>
      <c r="H3299" s="9"/>
      <c r="I3299" s="9"/>
      <c r="J3299" s="9"/>
      <c r="K3299" s="9"/>
      <c r="L3299" s="9"/>
    </row>
    <row r="3300" spans="1:12" ht="20" customHeight="1" x14ac:dyDescent="0.35">
      <c r="A3300" s="10" t="s">
        <v>475</v>
      </c>
      <c r="B3300" s="9"/>
      <c r="C3300" s="9"/>
      <c r="D3300" s="9"/>
      <c r="E3300" s="9"/>
      <c r="F3300" s="9"/>
      <c r="G3300" s="9"/>
      <c r="H3300" s="9"/>
      <c r="I3300" s="9"/>
      <c r="J3300" s="9"/>
      <c r="K3300" s="9"/>
      <c r="L3300" s="9"/>
    </row>
    <row r="3301" spans="1:12" ht="20" customHeight="1" x14ac:dyDescent="0.35">
      <c r="A3301" s="10" t="s">
        <v>476</v>
      </c>
      <c r="B3301" s="9"/>
      <c r="C3301" s="9"/>
      <c r="D3301" s="9"/>
      <c r="E3301" s="9"/>
      <c r="F3301" s="9"/>
      <c r="G3301" s="9"/>
      <c r="H3301" s="9"/>
      <c r="I3301" s="9"/>
      <c r="J3301" s="9"/>
      <c r="K3301" s="9"/>
      <c r="L3301" s="9"/>
    </row>
    <row r="3302" spans="1:12" ht="20" customHeight="1" x14ac:dyDescent="0.35"/>
    <row r="3303" spans="1:12" ht="20" customHeight="1" x14ac:dyDescent="0.35">
      <c r="A3303" s="8" t="s">
        <v>477</v>
      </c>
      <c r="B3303" s="9"/>
      <c r="C3303" s="9"/>
      <c r="D3303" s="9"/>
      <c r="E3303" s="9"/>
      <c r="F3303" s="9"/>
      <c r="G3303" s="9"/>
      <c r="H3303" s="9"/>
      <c r="I3303" s="9"/>
      <c r="J3303" s="9"/>
      <c r="K3303" s="9"/>
      <c r="L3303" s="9"/>
    </row>
    <row r="3304" spans="1:12" ht="20" customHeight="1" x14ac:dyDescent="0.35">
      <c r="A3304" s="11" t="s">
        <v>478</v>
      </c>
      <c r="B3304" s="9"/>
      <c r="C3304" s="9"/>
      <c r="D3304" s="9"/>
      <c r="E3304" s="9"/>
      <c r="F3304" s="9"/>
      <c r="G3304" s="9"/>
      <c r="H3304" s="9"/>
      <c r="I3304" s="9"/>
      <c r="J3304" s="9"/>
      <c r="K3304" s="9"/>
      <c r="L3304" s="9"/>
    </row>
    <row r="3305" spans="1:12" ht="20" customHeight="1" x14ac:dyDescent="0.35"/>
    <row r="3306" spans="1:12" ht="20" customHeight="1" x14ac:dyDescent="0.35">
      <c r="A3306" s="8" t="s">
        <v>479</v>
      </c>
      <c r="B3306" s="9"/>
      <c r="C3306" s="9"/>
      <c r="D3306" s="9"/>
      <c r="E3306" s="9"/>
      <c r="F3306" s="9"/>
      <c r="G3306" s="9"/>
      <c r="H3306" s="9"/>
      <c r="I3306" s="9"/>
      <c r="J3306" s="9"/>
      <c r="K3306" s="9"/>
      <c r="L3306" s="9"/>
    </row>
    <row r="3307" spans="1:12" ht="20" customHeight="1" x14ac:dyDescent="0.35">
      <c r="A3307" s="11" t="s">
        <v>480</v>
      </c>
      <c r="B3307" s="9"/>
      <c r="C3307" s="9"/>
      <c r="D3307" s="9"/>
      <c r="E3307" s="9"/>
      <c r="F3307" s="9"/>
      <c r="G3307" s="9"/>
      <c r="H3307" s="9"/>
      <c r="I3307" s="9"/>
      <c r="J3307" s="9"/>
      <c r="K3307" s="9"/>
      <c r="L3307" s="9"/>
    </row>
  </sheetData>
  <mergeCells count="9">
    <mergeCell ref="A3303:L3303"/>
    <mergeCell ref="A3304:L3304"/>
    <mergeCell ref="A3306:L3306"/>
    <mergeCell ref="A3307:L3307"/>
    <mergeCell ref="A1:L1"/>
    <mergeCell ref="A3298:K3298"/>
    <mergeCell ref="A3299:L3299"/>
    <mergeCell ref="A3300:L3300"/>
    <mergeCell ref="A3301:L3301"/>
  </mergeCells>
  <hyperlinks>
    <hyperlink ref="L3" r:id="rId1" tooltip="🔗 Ver Mapa" display="🔗 Ver Mapa"/>
    <hyperlink ref="L4" r:id="rId2" tooltip="🔗 Ver Mapa" display="🔗 Ver Mapa"/>
    <hyperlink ref="L5" r:id="rId3" tooltip="🔗 Ver Mapa" display="🔗 Ver Mapa"/>
    <hyperlink ref="L6" r:id="rId4" tooltip="🔗 Ver Mapa" display="🔗 Ver Mapa"/>
    <hyperlink ref="L7" r:id="rId5" tooltip="🔗 Ver Mapa" display="🔗 Ver Mapa"/>
    <hyperlink ref="L8" r:id="rId6" tooltip="🔗 Ver Mapa" display="🔗 Ver Mapa"/>
    <hyperlink ref="L9" r:id="rId7" tooltip="🔗 Ver Mapa" display="🔗 Ver Mapa"/>
    <hyperlink ref="L10" r:id="rId8" tooltip="🔗 Ver Mapa" display="🔗 Ver Mapa"/>
    <hyperlink ref="L11" r:id="rId9" tooltip="🔗 Ver Mapa" display="🔗 Ver Mapa"/>
    <hyperlink ref="L12" r:id="rId10" tooltip="🔗 Ver Mapa" display="🔗 Ver Mapa"/>
    <hyperlink ref="L13" r:id="rId11" tooltip="🔗 Ver Mapa" display="🔗 Ver Mapa"/>
    <hyperlink ref="L14" r:id="rId12" tooltip="🔗 Ver Mapa" display="🔗 Ver Mapa"/>
    <hyperlink ref="L15" r:id="rId13" tooltip="🔗 Ver Mapa" display="🔗 Ver Mapa"/>
    <hyperlink ref="L16" r:id="rId14" tooltip="🔗 Ver Mapa" display="🔗 Ver Mapa"/>
    <hyperlink ref="L17" r:id="rId15" tooltip="🔗 Ver Mapa" display="🔗 Ver Mapa"/>
    <hyperlink ref="L18" r:id="rId16" tooltip="🔗 Ver Mapa" display="🔗 Ver Mapa"/>
    <hyperlink ref="L19" r:id="rId17" tooltip="🔗 Ver Mapa" display="🔗 Ver Mapa"/>
    <hyperlink ref="L20" r:id="rId18" tooltip="🔗 Ver Mapa" display="🔗 Ver Mapa"/>
    <hyperlink ref="L21" r:id="rId19" tooltip="🔗 Ver Mapa" display="🔗 Ver Mapa"/>
    <hyperlink ref="L22" r:id="rId20" tooltip="🔗 Ver Mapa" display="🔗 Ver Mapa"/>
    <hyperlink ref="L23" r:id="rId21" tooltip="🔗 Ver Mapa" display="🔗 Ver Mapa"/>
    <hyperlink ref="L24" r:id="rId22" tooltip="🔗 Ver Mapa" display="🔗 Ver Mapa"/>
    <hyperlink ref="L25" r:id="rId23" tooltip="🔗 Ver Mapa" display="🔗 Ver Mapa"/>
    <hyperlink ref="L26" r:id="rId24" tooltip="🔗 Ver Mapa" display="🔗 Ver Mapa"/>
    <hyperlink ref="L27" r:id="rId25" tooltip="🔗 Ver Mapa" display="🔗 Ver Mapa"/>
    <hyperlink ref="L28" r:id="rId26" tooltip="🔗 Ver Mapa" display="🔗 Ver Mapa"/>
    <hyperlink ref="L29" r:id="rId27" tooltip="🔗 Ver Mapa" display="🔗 Ver Mapa"/>
    <hyperlink ref="L30" r:id="rId28" tooltip="🔗 Ver Mapa" display="🔗 Ver Mapa"/>
    <hyperlink ref="L31" r:id="rId29" tooltip="🔗 Ver Mapa" display="🔗 Ver Mapa"/>
    <hyperlink ref="L32" r:id="rId30" tooltip="🔗 Ver Mapa" display="🔗 Ver Mapa"/>
    <hyperlink ref="L33" r:id="rId31" tooltip="🔗 Ver Mapa" display="🔗 Ver Mapa"/>
    <hyperlink ref="L34" r:id="rId32" tooltip="🔗 Ver Mapa" display="🔗 Ver Mapa"/>
    <hyperlink ref="L35" r:id="rId33" tooltip="🔗 Ver Mapa" display="🔗 Ver Mapa"/>
    <hyperlink ref="L36" r:id="rId34" tooltip="🔗 Ver Mapa" display="🔗 Ver Mapa"/>
    <hyperlink ref="L37" r:id="rId35" tooltip="🔗 Ver Mapa" display="🔗 Ver Mapa"/>
    <hyperlink ref="L38" r:id="rId36" tooltip="🔗 Ver Mapa" display="🔗 Ver Mapa"/>
    <hyperlink ref="L39" r:id="rId37" tooltip="🔗 Ver Mapa" display="🔗 Ver Mapa"/>
    <hyperlink ref="L40" r:id="rId38" tooltip="🔗 Ver Mapa" display="🔗 Ver Mapa"/>
    <hyperlink ref="L41" r:id="rId39" tooltip="🔗 Ver Mapa" display="🔗 Ver Mapa"/>
    <hyperlink ref="L42" r:id="rId40" tooltip="🔗 Ver Mapa" display="🔗 Ver Mapa"/>
    <hyperlink ref="L43" r:id="rId41" tooltip="🔗 Ver Mapa" display="🔗 Ver Mapa"/>
    <hyperlink ref="L44" r:id="rId42" tooltip="🔗 Ver Mapa" display="🔗 Ver Mapa"/>
    <hyperlink ref="L45" r:id="rId43" tooltip="🔗 Ver Mapa" display="🔗 Ver Mapa"/>
    <hyperlink ref="L46" r:id="rId44" tooltip="🔗 Ver Mapa" display="🔗 Ver Mapa"/>
    <hyperlink ref="L47" r:id="rId45" tooltip="🔗 Ver Mapa" display="🔗 Ver Mapa"/>
    <hyperlink ref="L48" r:id="rId46" tooltip="🔗 Ver Mapa" display="🔗 Ver Mapa"/>
    <hyperlink ref="L49" r:id="rId47" tooltip="🔗 Ver Mapa" display="🔗 Ver Mapa"/>
    <hyperlink ref="L50" r:id="rId48" tooltip="🔗 Ver Mapa" display="🔗 Ver Mapa"/>
    <hyperlink ref="L51" r:id="rId49" tooltip="🔗 Ver Mapa" display="🔗 Ver Mapa"/>
    <hyperlink ref="L52" r:id="rId50" tooltip="🔗 Ver Mapa" display="🔗 Ver Mapa"/>
    <hyperlink ref="L53" r:id="rId51" tooltip="🔗 Ver Mapa" display="🔗 Ver Mapa"/>
    <hyperlink ref="L54" r:id="rId52" tooltip="🔗 Ver Mapa" display="🔗 Ver Mapa"/>
    <hyperlink ref="L55" r:id="rId53" tooltip="🔗 Ver Mapa" display="🔗 Ver Mapa"/>
    <hyperlink ref="L56" r:id="rId54" tooltip="🔗 Ver Mapa" display="🔗 Ver Mapa"/>
    <hyperlink ref="L57" r:id="rId55" tooltip="🔗 Ver Mapa" display="🔗 Ver Mapa"/>
    <hyperlink ref="L58" r:id="rId56" tooltip="🔗 Ver Mapa" display="🔗 Ver Mapa"/>
    <hyperlink ref="L59" r:id="rId57" tooltip="🔗 Ver Mapa" display="🔗 Ver Mapa"/>
    <hyperlink ref="L60" r:id="rId58" tooltip="🔗 Ver Mapa" display="🔗 Ver Mapa"/>
    <hyperlink ref="L61" r:id="rId59" tooltip="🔗 Ver Mapa" display="🔗 Ver Mapa"/>
    <hyperlink ref="L62" r:id="rId60" tooltip="🔗 Ver Mapa" display="🔗 Ver Mapa"/>
    <hyperlink ref="L63" r:id="rId61" tooltip="🔗 Ver Mapa" display="🔗 Ver Mapa"/>
    <hyperlink ref="L64" r:id="rId62" tooltip="🔗 Ver Mapa" display="🔗 Ver Mapa"/>
    <hyperlink ref="L65" r:id="rId63" tooltip="🔗 Ver Mapa" display="🔗 Ver Mapa"/>
    <hyperlink ref="L66" r:id="rId64" tooltip="🔗 Ver Mapa" display="🔗 Ver Mapa"/>
    <hyperlink ref="L67" r:id="rId65" tooltip="🔗 Ver Mapa" display="🔗 Ver Mapa"/>
    <hyperlink ref="L68" r:id="rId66" tooltip="🔗 Ver Mapa" display="🔗 Ver Mapa"/>
    <hyperlink ref="L69" r:id="rId67" tooltip="🔗 Ver Mapa" display="🔗 Ver Mapa"/>
    <hyperlink ref="L70" r:id="rId68" tooltip="🔗 Ver Mapa" display="🔗 Ver Mapa"/>
    <hyperlink ref="L71" r:id="rId69" tooltip="🔗 Ver Mapa" display="🔗 Ver Mapa"/>
    <hyperlink ref="L72" r:id="rId70" tooltip="🔗 Ver Mapa" display="🔗 Ver Mapa"/>
    <hyperlink ref="L73" r:id="rId71" tooltip="🔗 Ver Mapa" display="🔗 Ver Mapa"/>
    <hyperlink ref="L74" r:id="rId72" tooltip="🔗 Ver Mapa" display="🔗 Ver Mapa"/>
    <hyperlink ref="L75" r:id="rId73" tooltip="🔗 Ver Mapa" display="🔗 Ver Mapa"/>
    <hyperlink ref="L76" r:id="rId74" tooltip="🔗 Ver Mapa" display="🔗 Ver Mapa"/>
    <hyperlink ref="L77" r:id="rId75" tooltip="🔗 Ver Mapa" display="🔗 Ver Mapa"/>
    <hyperlink ref="L78" r:id="rId76" tooltip="🔗 Ver Mapa" display="🔗 Ver Mapa"/>
    <hyperlink ref="L79" r:id="rId77" tooltip="🔗 Ver Mapa" display="🔗 Ver Mapa"/>
    <hyperlink ref="L80" r:id="rId78" tooltip="🔗 Ver Mapa" display="🔗 Ver Mapa"/>
    <hyperlink ref="L81" r:id="rId79" tooltip="🔗 Ver Mapa" display="🔗 Ver Mapa"/>
    <hyperlink ref="L82" r:id="rId80" tooltip="🔗 Ver Mapa" display="🔗 Ver Mapa"/>
    <hyperlink ref="L83" r:id="rId81" tooltip="🔗 Ver Mapa" display="🔗 Ver Mapa"/>
    <hyperlink ref="L84" r:id="rId82" tooltip="🔗 Ver Mapa" display="🔗 Ver Mapa"/>
    <hyperlink ref="L85" r:id="rId83" tooltip="🔗 Ver Mapa" display="🔗 Ver Mapa"/>
    <hyperlink ref="L86" r:id="rId84" tooltip="🔗 Ver Mapa" display="🔗 Ver Mapa"/>
    <hyperlink ref="L87" r:id="rId85" tooltip="🔗 Ver Mapa" display="🔗 Ver Mapa"/>
    <hyperlink ref="L88" r:id="rId86" tooltip="🔗 Ver Mapa" display="🔗 Ver Mapa"/>
    <hyperlink ref="L89" r:id="rId87" tooltip="🔗 Ver Mapa" display="🔗 Ver Mapa"/>
    <hyperlink ref="L90" r:id="rId88" tooltip="🔗 Ver Mapa" display="🔗 Ver Mapa"/>
    <hyperlink ref="L91" r:id="rId89" tooltip="🔗 Ver Mapa" display="🔗 Ver Mapa"/>
    <hyperlink ref="L92" r:id="rId90" tooltip="🔗 Ver Mapa" display="🔗 Ver Mapa"/>
    <hyperlink ref="L93" r:id="rId91" tooltip="🔗 Ver Mapa" display="🔗 Ver Mapa"/>
    <hyperlink ref="L94" r:id="rId92" tooltip="🔗 Ver Mapa" display="🔗 Ver Mapa"/>
    <hyperlink ref="L95" r:id="rId93" tooltip="🔗 Ver Mapa" display="🔗 Ver Mapa"/>
    <hyperlink ref="L96" r:id="rId94" tooltip="🔗 Ver Mapa" display="🔗 Ver Mapa"/>
    <hyperlink ref="L97" r:id="rId95" tooltip="🔗 Ver Mapa" display="🔗 Ver Mapa"/>
    <hyperlink ref="L98" r:id="rId96" tooltip="🔗 Ver Mapa" display="🔗 Ver Mapa"/>
    <hyperlink ref="L99" r:id="rId97" tooltip="🔗 Ver Mapa" display="🔗 Ver Mapa"/>
    <hyperlink ref="L100" r:id="rId98" tooltip="🔗 Ver Mapa" display="🔗 Ver Mapa"/>
    <hyperlink ref="L101" r:id="rId99" tooltip="🔗 Ver Mapa" display="🔗 Ver Mapa"/>
    <hyperlink ref="L102" r:id="rId100" tooltip="🔗 Ver Mapa" display="🔗 Ver Mapa"/>
    <hyperlink ref="L103" r:id="rId101" tooltip="🔗 Ver Mapa" display="🔗 Ver Mapa"/>
    <hyperlink ref="L104" r:id="rId102" tooltip="🔗 Ver Mapa" display="🔗 Ver Mapa"/>
    <hyperlink ref="L105" r:id="rId103" tooltip="🔗 Ver Mapa" display="🔗 Ver Mapa"/>
    <hyperlink ref="L106" r:id="rId104" tooltip="🔗 Ver Mapa" display="🔗 Ver Mapa"/>
    <hyperlink ref="L107" r:id="rId105" tooltip="🔗 Ver Mapa" display="🔗 Ver Mapa"/>
    <hyperlink ref="L108" r:id="rId106" tooltip="🔗 Ver Mapa" display="🔗 Ver Mapa"/>
    <hyperlink ref="L109" r:id="rId107" tooltip="🔗 Ver Mapa" display="🔗 Ver Mapa"/>
    <hyperlink ref="L110" r:id="rId108" tooltip="🔗 Ver Mapa" display="🔗 Ver Mapa"/>
    <hyperlink ref="L111" r:id="rId109" tooltip="🔗 Ver Mapa" display="🔗 Ver Mapa"/>
    <hyperlink ref="L112" r:id="rId110" tooltip="🔗 Ver Mapa" display="🔗 Ver Mapa"/>
    <hyperlink ref="L113" r:id="rId111" tooltip="🔗 Ver Mapa" display="🔗 Ver Mapa"/>
    <hyperlink ref="L114" r:id="rId112" tooltip="🔗 Ver Mapa" display="🔗 Ver Mapa"/>
    <hyperlink ref="L115" r:id="rId113" tooltip="🔗 Ver Mapa" display="🔗 Ver Mapa"/>
    <hyperlink ref="L116" r:id="rId114" tooltip="🔗 Ver Mapa" display="🔗 Ver Mapa"/>
    <hyperlink ref="L117" r:id="rId115" tooltip="🔗 Ver Mapa" display="🔗 Ver Mapa"/>
    <hyperlink ref="L118" r:id="rId116" tooltip="🔗 Ver Mapa" display="🔗 Ver Mapa"/>
    <hyperlink ref="L119" r:id="rId117" tooltip="🔗 Ver Mapa" display="🔗 Ver Mapa"/>
    <hyperlink ref="L120" r:id="rId118" tooltip="🔗 Ver Mapa" display="🔗 Ver Mapa"/>
    <hyperlink ref="L121" r:id="rId119" tooltip="🔗 Ver Mapa" display="🔗 Ver Mapa"/>
    <hyperlink ref="L122" r:id="rId120" tooltip="🔗 Ver Mapa" display="🔗 Ver Mapa"/>
    <hyperlink ref="L123" r:id="rId121" tooltip="🔗 Ver Mapa" display="🔗 Ver Mapa"/>
    <hyperlink ref="L124" r:id="rId122" tooltip="🔗 Ver Mapa" display="🔗 Ver Mapa"/>
    <hyperlink ref="L125" r:id="rId123" tooltip="🔗 Ver Mapa" display="🔗 Ver Mapa"/>
    <hyperlink ref="L126" r:id="rId124" tooltip="🔗 Ver Mapa" display="🔗 Ver Mapa"/>
    <hyperlink ref="L127" r:id="rId125" tooltip="🔗 Ver Mapa" display="🔗 Ver Mapa"/>
    <hyperlink ref="L128" r:id="rId126" tooltip="🔗 Ver Mapa" display="🔗 Ver Mapa"/>
    <hyperlink ref="L129" r:id="rId127" tooltip="🔗 Ver Mapa" display="🔗 Ver Mapa"/>
    <hyperlink ref="L130" r:id="rId128" tooltip="🔗 Ver Mapa" display="🔗 Ver Mapa"/>
    <hyperlink ref="L131" r:id="rId129" tooltip="🔗 Ver Mapa" display="🔗 Ver Mapa"/>
    <hyperlink ref="L132" r:id="rId130" tooltip="🔗 Ver Mapa" display="🔗 Ver Mapa"/>
    <hyperlink ref="L133" r:id="rId131" tooltip="🔗 Ver Mapa" display="🔗 Ver Mapa"/>
    <hyperlink ref="L134" r:id="rId132" tooltip="🔗 Ver Mapa" display="🔗 Ver Mapa"/>
    <hyperlink ref="L135" r:id="rId133" tooltip="🔗 Ver Mapa" display="🔗 Ver Mapa"/>
    <hyperlink ref="L136" r:id="rId134" tooltip="🔗 Ver Mapa" display="🔗 Ver Mapa"/>
    <hyperlink ref="L137" r:id="rId135" tooltip="🔗 Ver Mapa" display="🔗 Ver Mapa"/>
    <hyperlink ref="L138" r:id="rId136" tooltip="🔗 Ver Mapa" display="🔗 Ver Mapa"/>
    <hyperlink ref="L139" r:id="rId137" tooltip="🔗 Ver Mapa" display="🔗 Ver Mapa"/>
    <hyperlink ref="L140" r:id="rId138" tooltip="🔗 Ver Mapa" display="🔗 Ver Mapa"/>
    <hyperlink ref="L141" r:id="rId139" tooltip="🔗 Ver Mapa" display="🔗 Ver Mapa"/>
    <hyperlink ref="L142" r:id="rId140" tooltip="🔗 Ver Mapa" display="🔗 Ver Mapa"/>
    <hyperlink ref="L143" r:id="rId141" tooltip="🔗 Ver Mapa" display="🔗 Ver Mapa"/>
    <hyperlink ref="L144" r:id="rId142" tooltip="🔗 Ver Mapa" display="🔗 Ver Mapa"/>
    <hyperlink ref="L145" r:id="rId143" tooltip="🔗 Ver Mapa" display="🔗 Ver Mapa"/>
    <hyperlink ref="L146" r:id="rId144" tooltip="🔗 Ver Mapa" display="🔗 Ver Mapa"/>
    <hyperlink ref="L147" r:id="rId145" tooltip="🔗 Ver Mapa" display="🔗 Ver Mapa"/>
    <hyperlink ref="L148" r:id="rId146" tooltip="🔗 Ver Mapa" display="🔗 Ver Mapa"/>
    <hyperlink ref="L149" r:id="rId147" tooltip="🔗 Ver Mapa" display="🔗 Ver Mapa"/>
    <hyperlink ref="L150" r:id="rId148" tooltip="🔗 Ver Mapa" display="🔗 Ver Mapa"/>
    <hyperlink ref="L151" r:id="rId149" tooltip="🔗 Ver Mapa" display="🔗 Ver Mapa"/>
    <hyperlink ref="L152" r:id="rId150" tooltip="🔗 Ver Mapa" display="🔗 Ver Mapa"/>
    <hyperlink ref="L153" r:id="rId151" tooltip="🔗 Ver Mapa" display="🔗 Ver Mapa"/>
    <hyperlink ref="L154" r:id="rId152" tooltip="🔗 Ver Mapa" display="🔗 Ver Mapa"/>
    <hyperlink ref="L155" r:id="rId153" tooltip="🔗 Ver Mapa" display="🔗 Ver Mapa"/>
    <hyperlink ref="L156" r:id="rId154" tooltip="🔗 Ver Mapa" display="🔗 Ver Mapa"/>
    <hyperlink ref="L157" r:id="rId155" tooltip="🔗 Ver Mapa" display="🔗 Ver Mapa"/>
    <hyperlink ref="L158" r:id="rId156" tooltip="🔗 Ver Mapa" display="🔗 Ver Mapa"/>
    <hyperlink ref="L159" r:id="rId157" tooltip="🔗 Ver Mapa" display="🔗 Ver Mapa"/>
    <hyperlink ref="L160" r:id="rId158" tooltip="🔗 Ver Mapa" display="🔗 Ver Mapa"/>
    <hyperlink ref="L161" r:id="rId159" tooltip="🔗 Ver Mapa" display="🔗 Ver Mapa"/>
    <hyperlink ref="L162" r:id="rId160" tooltip="🔗 Ver Mapa" display="🔗 Ver Mapa"/>
    <hyperlink ref="L163" r:id="rId161" tooltip="🔗 Ver Mapa" display="🔗 Ver Mapa"/>
    <hyperlink ref="L164" r:id="rId162" tooltip="🔗 Ver Mapa" display="🔗 Ver Mapa"/>
    <hyperlink ref="L165" r:id="rId163" tooltip="🔗 Ver Mapa" display="🔗 Ver Mapa"/>
    <hyperlink ref="L166" r:id="rId164" tooltip="🔗 Ver Mapa" display="🔗 Ver Mapa"/>
    <hyperlink ref="L167" r:id="rId165" tooltip="🔗 Ver Mapa" display="🔗 Ver Mapa"/>
    <hyperlink ref="L168" r:id="rId166" tooltip="🔗 Ver Mapa" display="🔗 Ver Mapa"/>
    <hyperlink ref="L169" r:id="rId167" tooltip="🔗 Ver Mapa" display="🔗 Ver Mapa"/>
    <hyperlink ref="L170" r:id="rId168" tooltip="🔗 Ver Mapa" display="🔗 Ver Mapa"/>
    <hyperlink ref="L171" r:id="rId169" tooltip="🔗 Ver Mapa" display="🔗 Ver Mapa"/>
    <hyperlink ref="L172" r:id="rId170" tooltip="🔗 Ver Mapa" display="🔗 Ver Mapa"/>
    <hyperlink ref="L173" r:id="rId171" tooltip="🔗 Ver Mapa" display="🔗 Ver Mapa"/>
    <hyperlink ref="L174" r:id="rId172" tooltip="🔗 Ver Mapa" display="🔗 Ver Mapa"/>
    <hyperlink ref="L175" r:id="rId173" tooltip="🔗 Ver Mapa" display="🔗 Ver Mapa"/>
    <hyperlink ref="L176" r:id="rId174" tooltip="🔗 Ver Mapa" display="🔗 Ver Mapa"/>
    <hyperlink ref="L177" r:id="rId175" tooltip="🔗 Ver Mapa" display="🔗 Ver Mapa"/>
    <hyperlink ref="L178" r:id="rId176" tooltip="🔗 Ver Mapa" display="🔗 Ver Mapa"/>
    <hyperlink ref="L179" r:id="rId177" tooltip="🔗 Ver Mapa" display="🔗 Ver Mapa"/>
    <hyperlink ref="L180" r:id="rId178" tooltip="🔗 Ver Mapa" display="🔗 Ver Mapa"/>
    <hyperlink ref="L181" r:id="rId179" tooltip="🔗 Ver Mapa" display="🔗 Ver Mapa"/>
    <hyperlink ref="L182" r:id="rId180" tooltip="🔗 Ver Mapa" display="🔗 Ver Mapa"/>
    <hyperlink ref="L183" r:id="rId181" tooltip="🔗 Ver Mapa" display="🔗 Ver Mapa"/>
    <hyperlink ref="L184" r:id="rId182" tooltip="🔗 Ver Mapa" display="🔗 Ver Mapa"/>
    <hyperlink ref="L185" r:id="rId183" tooltip="🔗 Ver Mapa" display="🔗 Ver Mapa"/>
    <hyperlink ref="L186" r:id="rId184" tooltip="🔗 Ver Mapa" display="🔗 Ver Mapa"/>
    <hyperlink ref="L187" r:id="rId185" tooltip="🔗 Ver Mapa" display="🔗 Ver Mapa"/>
    <hyperlink ref="L188" r:id="rId186" tooltip="🔗 Ver Mapa" display="🔗 Ver Mapa"/>
    <hyperlink ref="L189" r:id="rId187" tooltip="🔗 Ver Mapa" display="🔗 Ver Mapa"/>
    <hyperlink ref="L190" r:id="rId188" tooltip="🔗 Ver Mapa" display="🔗 Ver Mapa"/>
    <hyperlink ref="L191" r:id="rId189" tooltip="🔗 Ver Mapa" display="🔗 Ver Mapa"/>
    <hyperlink ref="L192" r:id="rId190" tooltip="🔗 Ver Mapa" display="🔗 Ver Mapa"/>
    <hyperlink ref="L193" r:id="rId191" tooltip="🔗 Ver Mapa" display="🔗 Ver Mapa"/>
    <hyperlink ref="L194" r:id="rId192" tooltip="🔗 Ver Mapa" display="🔗 Ver Mapa"/>
    <hyperlink ref="L195" r:id="rId193" tooltip="🔗 Ver Mapa" display="🔗 Ver Mapa"/>
    <hyperlink ref="L196" r:id="rId194" tooltip="🔗 Ver Mapa" display="🔗 Ver Mapa"/>
    <hyperlink ref="L197" r:id="rId195" tooltip="🔗 Ver Mapa" display="🔗 Ver Mapa"/>
    <hyperlink ref="L198" r:id="rId196" tooltip="🔗 Ver Mapa" display="🔗 Ver Mapa"/>
    <hyperlink ref="L199" r:id="rId197" tooltip="🔗 Ver Mapa" display="🔗 Ver Mapa"/>
    <hyperlink ref="L200" r:id="rId198" tooltip="🔗 Ver Mapa" display="🔗 Ver Mapa"/>
    <hyperlink ref="L201" r:id="rId199" tooltip="🔗 Ver Mapa" display="🔗 Ver Mapa"/>
    <hyperlink ref="L202" r:id="rId200" tooltip="🔗 Ver Mapa" display="🔗 Ver Mapa"/>
    <hyperlink ref="L203" r:id="rId201" tooltip="🔗 Ver Mapa" display="🔗 Ver Mapa"/>
    <hyperlink ref="L204" r:id="rId202" tooltip="🔗 Ver Mapa" display="🔗 Ver Mapa"/>
    <hyperlink ref="L205" r:id="rId203" tooltip="🔗 Ver Mapa" display="🔗 Ver Mapa"/>
    <hyperlink ref="L206" r:id="rId204" tooltip="🔗 Ver Mapa" display="🔗 Ver Mapa"/>
    <hyperlink ref="L207" r:id="rId205" tooltip="🔗 Ver Mapa" display="🔗 Ver Mapa"/>
    <hyperlink ref="L208" r:id="rId206" tooltip="🔗 Ver Mapa" display="🔗 Ver Mapa"/>
    <hyperlink ref="L209" r:id="rId207" tooltip="🔗 Ver Mapa" display="🔗 Ver Mapa"/>
    <hyperlink ref="L210" r:id="rId208" tooltip="🔗 Ver Mapa" display="🔗 Ver Mapa"/>
    <hyperlink ref="L211" r:id="rId209" tooltip="🔗 Ver Mapa" display="🔗 Ver Mapa"/>
    <hyperlink ref="L212" r:id="rId210" tooltip="🔗 Ver Mapa" display="🔗 Ver Mapa"/>
    <hyperlink ref="L213" r:id="rId211" tooltip="🔗 Ver Mapa" display="🔗 Ver Mapa"/>
    <hyperlink ref="L214" r:id="rId212" tooltip="🔗 Ver Mapa" display="🔗 Ver Mapa"/>
    <hyperlink ref="L215" r:id="rId213" tooltip="🔗 Ver Mapa" display="🔗 Ver Mapa"/>
    <hyperlink ref="L216" r:id="rId214" tooltip="🔗 Ver Mapa" display="🔗 Ver Mapa"/>
    <hyperlink ref="L217" r:id="rId215" tooltip="🔗 Ver Mapa" display="🔗 Ver Mapa"/>
    <hyperlink ref="L218" r:id="rId216" tooltip="🔗 Ver Mapa" display="🔗 Ver Mapa"/>
    <hyperlink ref="L219" r:id="rId217" tooltip="🔗 Ver Mapa" display="🔗 Ver Mapa"/>
    <hyperlink ref="L220" r:id="rId218" tooltip="🔗 Ver Mapa" display="🔗 Ver Mapa"/>
    <hyperlink ref="L221" r:id="rId219" tooltip="🔗 Ver Mapa" display="🔗 Ver Mapa"/>
    <hyperlink ref="L222" r:id="rId220" tooltip="🔗 Ver Mapa" display="🔗 Ver Mapa"/>
    <hyperlink ref="L223" r:id="rId221" tooltip="🔗 Ver Mapa" display="🔗 Ver Mapa"/>
    <hyperlink ref="L224" r:id="rId222" tooltip="🔗 Ver Mapa" display="🔗 Ver Mapa"/>
    <hyperlink ref="L225" r:id="rId223" tooltip="🔗 Ver Mapa" display="🔗 Ver Mapa"/>
    <hyperlink ref="L226" r:id="rId224" tooltip="🔗 Ver Mapa" display="🔗 Ver Mapa"/>
    <hyperlink ref="L227" r:id="rId225" tooltip="🔗 Ver Mapa" display="🔗 Ver Mapa"/>
    <hyperlink ref="L228" r:id="rId226" tooltip="🔗 Ver Mapa" display="🔗 Ver Mapa"/>
    <hyperlink ref="L229" r:id="rId227" tooltip="🔗 Ver Mapa" display="🔗 Ver Mapa"/>
    <hyperlink ref="L230" r:id="rId228" tooltip="🔗 Ver Mapa" display="🔗 Ver Mapa"/>
    <hyperlink ref="L231" r:id="rId229" tooltip="🔗 Ver Mapa" display="🔗 Ver Mapa"/>
    <hyperlink ref="L232" r:id="rId230" tooltip="🔗 Ver Mapa" display="🔗 Ver Mapa"/>
    <hyperlink ref="L233" r:id="rId231" tooltip="🔗 Ver Mapa" display="🔗 Ver Mapa"/>
    <hyperlink ref="L234" r:id="rId232" tooltip="🔗 Ver Mapa" display="🔗 Ver Mapa"/>
    <hyperlink ref="L235" r:id="rId233" tooltip="🔗 Ver Mapa" display="🔗 Ver Mapa"/>
    <hyperlink ref="L236" r:id="rId234" tooltip="🔗 Ver Mapa" display="🔗 Ver Mapa"/>
    <hyperlink ref="L237" r:id="rId235" tooltip="🔗 Ver Mapa" display="🔗 Ver Mapa"/>
    <hyperlink ref="L238" r:id="rId236" tooltip="🔗 Ver Mapa" display="🔗 Ver Mapa"/>
    <hyperlink ref="L239" r:id="rId237" tooltip="🔗 Ver Mapa" display="🔗 Ver Mapa"/>
    <hyperlink ref="L240" r:id="rId238" tooltip="🔗 Ver Mapa" display="🔗 Ver Mapa"/>
    <hyperlink ref="L241" r:id="rId239" tooltip="🔗 Ver Mapa" display="🔗 Ver Mapa"/>
    <hyperlink ref="L242" r:id="rId240" tooltip="🔗 Ver Mapa" display="🔗 Ver Mapa"/>
    <hyperlink ref="L243" r:id="rId241" tooltip="🔗 Ver Mapa" display="🔗 Ver Mapa"/>
    <hyperlink ref="L244" r:id="rId242" tooltip="🔗 Ver Mapa" display="🔗 Ver Mapa"/>
    <hyperlink ref="L245" r:id="rId243" tooltip="🔗 Ver Mapa" display="🔗 Ver Mapa"/>
    <hyperlink ref="L246" r:id="rId244" tooltip="🔗 Ver Mapa" display="🔗 Ver Mapa"/>
    <hyperlink ref="L247" r:id="rId245" tooltip="🔗 Ver Mapa" display="🔗 Ver Mapa"/>
    <hyperlink ref="L248" r:id="rId246" tooltip="🔗 Ver Mapa" display="🔗 Ver Mapa"/>
    <hyperlink ref="L249" r:id="rId247" tooltip="🔗 Ver Mapa" display="🔗 Ver Mapa"/>
    <hyperlink ref="L250" r:id="rId248" tooltip="🔗 Ver Mapa" display="🔗 Ver Mapa"/>
    <hyperlink ref="L251" r:id="rId249" tooltip="🔗 Ver Mapa" display="🔗 Ver Mapa"/>
    <hyperlink ref="L252" r:id="rId250" tooltip="🔗 Ver Mapa" display="🔗 Ver Mapa"/>
    <hyperlink ref="L253" r:id="rId251" tooltip="🔗 Ver Mapa" display="🔗 Ver Mapa"/>
    <hyperlink ref="L254" r:id="rId252" tooltip="🔗 Ver Mapa" display="🔗 Ver Mapa"/>
    <hyperlink ref="L255" r:id="rId253" tooltip="🔗 Ver Mapa" display="🔗 Ver Mapa"/>
    <hyperlink ref="L256" r:id="rId254" tooltip="🔗 Ver Mapa" display="🔗 Ver Mapa"/>
    <hyperlink ref="L257" r:id="rId255" tooltip="🔗 Ver Mapa" display="🔗 Ver Mapa"/>
    <hyperlink ref="L258" r:id="rId256" tooltip="🔗 Ver Mapa" display="🔗 Ver Mapa"/>
    <hyperlink ref="L259" r:id="rId257" tooltip="🔗 Ver Mapa" display="🔗 Ver Mapa"/>
    <hyperlink ref="L260" r:id="rId258" tooltip="🔗 Ver Mapa" display="🔗 Ver Mapa"/>
    <hyperlink ref="L261" r:id="rId259" tooltip="🔗 Ver Mapa" display="🔗 Ver Mapa"/>
    <hyperlink ref="L262" r:id="rId260" tooltip="🔗 Ver Mapa" display="🔗 Ver Mapa"/>
    <hyperlink ref="L263" r:id="rId261" tooltip="🔗 Ver Mapa" display="🔗 Ver Mapa"/>
    <hyperlink ref="L264" r:id="rId262" tooltip="🔗 Ver Mapa" display="🔗 Ver Mapa"/>
    <hyperlink ref="L265" r:id="rId263" tooltip="🔗 Ver Mapa" display="🔗 Ver Mapa"/>
    <hyperlink ref="L266" r:id="rId264" tooltip="🔗 Ver Mapa" display="🔗 Ver Mapa"/>
    <hyperlink ref="L267" r:id="rId265" tooltip="🔗 Ver Mapa" display="🔗 Ver Mapa"/>
    <hyperlink ref="L268" r:id="rId266" tooltip="🔗 Ver Mapa" display="🔗 Ver Mapa"/>
    <hyperlink ref="L269" r:id="rId267" tooltip="🔗 Ver Mapa" display="🔗 Ver Mapa"/>
    <hyperlink ref="L270" r:id="rId268" tooltip="🔗 Ver Mapa" display="🔗 Ver Mapa"/>
    <hyperlink ref="L271" r:id="rId269" tooltip="🔗 Ver Mapa" display="🔗 Ver Mapa"/>
    <hyperlink ref="L272" r:id="rId270" tooltip="🔗 Ver Mapa" display="🔗 Ver Mapa"/>
    <hyperlink ref="L273" r:id="rId271" tooltip="🔗 Ver Mapa" display="🔗 Ver Mapa"/>
    <hyperlink ref="L274" r:id="rId272" tooltip="🔗 Ver Mapa" display="🔗 Ver Mapa"/>
    <hyperlink ref="L275" r:id="rId273" tooltip="🔗 Ver Mapa" display="🔗 Ver Mapa"/>
    <hyperlink ref="L276" r:id="rId274" tooltip="🔗 Ver Mapa" display="🔗 Ver Mapa"/>
    <hyperlink ref="L277" r:id="rId275" tooltip="🔗 Ver Mapa" display="🔗 Ver Mapa"/>
    <hyperlink ref="L278" r:id="rId276" tooltip="🔗 Ver Mapa" display="🔗 Ver Mapa"/>
    <hyperlink ref="L279" r:id="rId277" tooltip="🔗 Ver Mapa" display="🔗 Ver Mapa"/>
    <hyperlink ref="L280" r:id="rId278" tooltip="🔗 Ver Mapa" display="🔗 Ver Mapa"/>
    <hyperlink ref="L281" r:id="rId279" tooltip="🔗 Ver Mapa" display="🔗 Ver Mapa"/>
    <hyperlink ref="L282" r:id="rId280" tooltip="🔗 Ver Mapa" display="🔗 Ver Mapa"/>
    <hyperlink ref="L283" r:id="rId281" tooltip="🔗 Ver Mapa" display="🔗 Ver Mapa"/>
    <hyperlink ref="L284" r:id="rId282" tooltip="🔗 Ver Mapa" display="🔗 Ver Mapa"/>
    <hyperlink ref="L285" r:id="rId283" tooltip="🔗 Ver Mapa" display="🔗 Ver Mapa"/>
    <hyperlink ref="L286" r:id="rId284" tooltip="🔗 Ver Mapa" display="🔗 Ver Mapa"/>
    <hyperlink ref="L287" r:id="rId285" tooltip="🔗 Ver Mapa" display="🔗 Ver Mapa"/>
    <hyperlink ref="L288" r:id="rId286" tooltip="🔗 Ver Mapa" display="🔗 Ver Mapa"/>
    <hyperlink ref="L289" r:id="rId287" tooltip="🔗 Ver Mapa" display="🔗 Ver Mapa"/>
    <hyperlink ref="L290" r:id="rId288" tooltip="🔗 Ver Mapa" display="🔗 Ver Mapa"/>
    <hyperlink ref="L291" r:id="rId289" tooltip="🔗 Ver Mapa" display="🔗 Ver Mapa"/>
    <hyperlink ref="L292" r:id="rId290" tooltip="🔗 Ver Mapa" display="🔗 Ver Mapa"/>
    <hyperlink ref="L293" r:id="rId291" tooltip="🔗 Ver Mapa" display="🔗 Ver Mapa"/>
    <hyperlink ref="L294" r:id="rId292" tooltip="🔗 Ver Mapa" display="🔗 Ver Mapa"/>
    <hyperlink ref="L295" r:id="rId293" tooltip="🔗 Ver Mapa" display="🔗 Ver Mapa"/>
    <hyperlink ref="L296" r:id="rId294" tooltip="🔗 Ver Mapa" display="🔗 Ver Mapa"/>
    <hyperlink ref="L297" r:id="rId295" tooltip="🔗 Ver Mapa" display="🔗 Ver Mapa"/>
    <hyperlink ref="L298" r:id="rId296" tooltip="🔗 Ver Mapa" display="🔗 Ver Mapa"/>
    <hyperlink ref="L299" r:id="rId297" tooltip="🔗 Ver Mapa" display="🔗 Ver Mapa"/>
    <hyperlink ref="L300" r:id="rId298" tooltip="🔗 Ver Mapa" display="🔗 Ver Mapa"/>
    <hyperlink ref="L301" r:id="rId299" tooltip="🔗 Ver Mapa" display="🔗 Ver Mapa"/>
    <hyperlink ref="L302" r:id="rId300" tooltip="🔗 Ver Mapa" display="🔗 Ver Mapa"/>
    <hyperlink ref="L303" r:id="rId301" tooltip="🔗 Ver Mapa" display="🔗 Ver Mapa"/>
    <hyperlink ref="L304" r:id="rId302" tooltip="🔗 Ver Mapa" display="🔗 Ver Mapa"/>
    <hyperlink ref="L305" r:id="rId303" tooltip="🔗 Ver Mapa" display="🔗 Ver Mapa"/>
    <hyperlink ref="L306" r:id="rId304" tooltip="🔗 Ver Mapa" display="🔗 Ver Mapa"/>
    <hyperlink ref="L307" r:id="rId305" tooltip="🔗 Ver Mapa" display="🔗 Ver Mapa"/>
    <hyperlink ref="L308" r:id="rId306" tooltip="🔗 Ver Mapa" display="🔗 Ver Mapa"/>
    <hyperlink ref="L309" r:id="rId307" tooltip="🔗 Ver Mapa" display="🔗 Ver Mapa"/>
    <hyperlink ref="L310" r:id="rId308" tooltip="🔗 Ver Mapa" display="🔗 Ver Mapa"/>
    <hyperlink ref="L311" r:id="rId309" tooltip="🔗 Ver Mapa" display="🔗 Ver Mapa"/>
    <hyperlink ref="L312" r:id="rId310" tooltip="🔗 Ver Mapa" display="🔗 Ver Mapa"/>
    <hyperlink ref="L313" r:id="rId311" tooltip="🔗 Ver Mapa" display="🔗 Ver Mapa"/>
    <hyperlink ref="L314" r:id="rId312" tooltip="🔗 Ver Mapa" display="🔗 Ver Mapa"/>
    <hyperlink ref="L315" r:id="rId313" tooltip="🔗 Ver Mapa" display="🔗 Ver Mapa"/>
    <hyperlink ref="L316" r:id="rId314" tooltip="🔗 Ver Mapa" display="🔗 Ver Mapa"/>
    <hyperlink ref="L317" r:id="rId315" tooltip="🔗 Ver Mapa" display="🔗 Ver Mapa"/>
    <hyperlink ref="L318" r:id="rId316" tooltip="🔗 Ver Mapa" display="🔗 Ver Mapa"/>
    <hyperlink ref="L319" r:id="rId317" tooltip="🔗 Ver Mapa" display="🔗 Ver Mapa"/>
    <hyperlink ref="L320" r:id="rId318" tooltip="🔗 Ver Mapa" display="🔗 Ver Mapa"/>
    <hyperlink ref="L321" r:id="rId319" tooltip="🔗 Ver Mapa" display="🔗 Ver Mapa"/>
    <hyperlink ref="L322" r:id="rId320" tooltip="🔗 Ver Mapa" display="🔗 Ver Mapa"/>
    <hyperlink ref="L323" r:id="rId321" tooltip="🔗 Ver Mapa" display="🔗 Ver Mapa"/>
    <hyperlink ref="L324" r:id="rId322" tooltip="🔗 Ver Mapa" display="🔗 Ver Mapa"/>
    <hyperlink ref="L325" r:id="rId323" tooltip="🔗 Ver Mapa" display="🔗 Ver Mapa"/>
    <hyperlink ref="L326" r:id="rId324" tooltip="🔗 Ver Mapa" display="🔗 Ver Mapa"/>
    <hyperlink ref="L327" r:id="rId325" tooltip="🔗 Ver Mapa" display="🔗 Ver Mapa"/>
    <hyperlink ref="L328" r:id="rId326" tooltip="🔗 Ver Mapa" display="🔗 Ver Mapa"/>
    <hyperlink ref="L329" r:id="rId327" tooltip="🔗 Ver Mapa" display="🔗 Ver Mapa"/>
    <hyperlink ref="L330" r:id="rId328" tooltip="🔗 Ver Mapa" display="🔗 Ver Mapa"/>
    <hyperlink ref="L331" r:id="rId329" tooltip="🔗 Ver Mapa" display="🔗 Ver Mapa"/>
    <hyperlink ref="L332" r:id="rId330" tooltip="🔗 Ver Mapa" display="🔗 Ver Mapa"/>
    <hyperlink ref="L333" r:id="rId331" tooltip="🔗 Ver Mapa" display="🔗 Ver Mapa"/>
    <hyperlink ref="L334" r:id="rId332" tooltip="🔗 Ver Mapa" display="🔗 Ver Mapa"/>
    <hyperlink ref="L335" r:id="rId333" tooltip="🔗 Ver Mapa" display="🔗 Ver Mapa"/>
    <hyperlink ref="L336" r:id="rId334" tooltip="🔗 Ver Mapa" display="🔗 Ver Mapa"/>
    <hyperlink ref="L337" r:id="rId335" tooltip="🔗 Ver Mapa" display="🔗 Ver Mapa"/>
    <hyperlink ref="L338" r:id="rId336" tooltip="🔗 Ver Mapa" display="🔗 Ver Mapa"/>
    <hyperlink ref="L339" r:id="rId337" tooltip="🔗 Ver Mapa" display="🔗 Ver Mapa"/>
    <hyperlink ref="L340" r:id="rId338" tooltip="🔗 Ver Mapa" display="🔗 Ver Mapa"/>
    <hyperlink ref="L341" r:id="rId339" tooltip="🔗 Ver Mapa" display="🔗 Ver Mapa"/>
    <hyperlink ref="L342" r:id="rId340" tooltip="🔗 Ver Mapa" display="🔗 Ver Mapa"/>
    <hyperlink ref="L343" r:id="rId341" tooltip="🔗 Ver Mapa" display="🔗 Ver Mapa"/>
    <hyperlink ref="L344" r:id="rId342" tooltip="🔗 Ver Mapa" display="🔗 Ver Mapa"/>
    <hyperlink ref="L345" r:id="rId343" tooltip="🔗 Ver Mapa" display="🔗 Ver Mapa"/>
    <hyperlink ref="L346" r:id="rId344" tooltip="🔗 Ver Mapa" display="🔗 Ver Mapa"/>
    <hyperlink ref="L347" r:id="rId345" tooltip="🔗 Ver Mapa" display="🔗 Ver Mapa"/>
    <hyperlink ref="L348" r:id="rId346" tooltip="🔗 Ver Mapa" display="🔗 Ver Mapa"/>
    <hyperlink ref="L349" r:id="rId347" tooltip="🔗 Ver Mapa" display="🔗 Ver Mapa"/>
    <hyperlink ref="L350" r:id="rId348" tooltip="🔗 Ver Mapa" display="🔗 Ver Mapa"/>
    <hyperlink ref="L351" r:id="rId349" tooltip="🔗 Ver Mapa" display="🔗 Ver Mapa"/>
    <hyperlink ref="L352" r:id="rId350" tooltip="🔗 Ver Mapa" display="🔗 Ver Mapa"/>
    <hyperlink ref="L353" r:id="rId351" tooltip="🔗 Ver Mapa" display="🔗 Ver Mapa"/>
    <hyperlink ref="L354" r:id="rId352" tooltip="🔗 Ver Mapa" display="🔗 Ver Mapa"/>
    <hyperlink ref="L355" r:id="rId353" tooltip="🔗 Ver Mapa" display="🔗 Ver Mapa"/>
    <hyperlink ref="L356" r:id="rId354" tooltip="🔗 Ver Mapa" display="🔗 Ver Mapa"/>
    <hyperlink ref="L357" r:id="rId355" tooltip="🔗 Ver Mapa" display="🔗 Ver Mapa"/>
    <hyperlink ref="L358" r:id="rId356" tooltip="🔗 Ver Mapa" display="🔗 Ver Mapa"/>
    <hyperlink ref="L359" r:id="rId357" tooltip="🔗 Ver Mapa" display="🔗 Ver Mapa"/>
    <hyperlink ref="L360" r:id="rId358" tooltip="🔗 Ver Mapa" display="🔗 Ver Mapa"/>
    <hyperlink ref="L361" r:id="rId359" tooltip="🔗 Ver Mapa" display="🔗 Ver Mapa"/>
    <hyperlink ref="L362" r:id="rId360" tooltip="🔗 Ver Mapa" display="🔗 Ver Mapa"/>
    <hyperlink ref="L363" r:id="rId361" tooltip="🔗 Ver Mapa" display="🔗 Ver Mapa"/>
    <hyperlink ref="L364" r:id="rId362" tooltip="🔗 Ver Mapa" display="🔗 Ver Mapa"/>
    <hyperlink ref="L365" r:id="rId363" tooltip="🔗 Ver Mapa" display="🔗 Ver Mapa"/>
    <hyperlink ref="L366" r:id="rId364" tooltip="🔗 Ver Mapa" display="🔗 Ver Mapa"/>
    <hyperlink ref="L367" r:id="rId365" tooltip="🔗 Ver Mapa" display="🔗 Ver Mapa"/>
    <hyperlink ref="L368" r:id="rId366" tooltip="🔗 Ver Mapa" display="🔗 Ver Mapa"/>
    <hyperlink ref="L369" r:id="rId367" tooltip="🔗 Ver Mapa" display="🔗 Ver Mapa"/>
    <hyperlink ref="L370" r:id="rId368" tooltip="🔗 Ver Mapa" display="🔗 Ver Mapa"/>
    <hyperlink ref="L371" r:id="rId369" tooltip="🔗 Ver Mapa" display="🔗 Ver Mapa"/>
    <hyperlink ref="L372" r:id="rId370" tooltip="🔗 Ver Mapa" display="🔗 Ver Mapa"/>
    <hyperlink ref="L373" r:id="rId371" tooltip="🔗 Ver Mapa" display="🔗 Ver Mapa"/>
    <hyperlink ref="L374" r:id="rId372" tooltip="🔗 Ver Mapa" display="🔗 Ver Mapa"/>
    <hyperlink ref="L375" r:id="rId373" tooltip="🔗 Ver Mapa" display="🔗 Ver Mapa"/>
    <hyperlink ref="L376" r:id="rId374" tooltip="🔗 Ver Mapa" display="🔗 Ver Mapa"/>
    <hyperlink ref="L377" r:id="rId375" tooltip="🔗 Ver Mapa" display="🔗 Ver Mapa"/>
    <hyperlink ref="L378" r:id="rId376" tooltip="🔗 Ver Mapa" display="🔗 Ver Mapa"/>
    <hyperlink ref="L379" r:id="rId377" tooltip="🔗 Ver Mapa" display="🔗 Ver Mapa"/>
    <hyperlink ref="L380" r:id="rId378" tooltip="🔗 Ver Mapa" display="🔗 Ver Mapa"/>
    <hyperlink ref="L381" r:id="rId379" tooltip="🔗 Ver Mapa" display="🔗 Ver Mapa"/>
    <hyperlink ref="L382" r:id="rId380" tooltip="🔗 Ver Mapa" display="🔗 Ver Mapa"/>
    <hyperlink ref="L383" r:id="rId381" tooltip="🔗 Ver Mapa" display="🔗 Ver Mapa"/>
    <hyperlink ref="L384" r:id="rId382" tooltip="🔗 Ver Mapa" display="🔗 Ver Mapa"/>
    <hyperlink ref="L385" r:id="rId383" tooltip="🔗 Ver Mapa" display="🔗 Ver Mapa"/>
    <hyperlink ref="L386" r:id="rId384" tooltip="🔗 Ver Mapa" display="🔗 Ver Mapa"/>
    <hyperlink ref="L387" r:id="rId385" tooltip="🔗 Ver Mapa" display="🔗 Ver Mapa"/>
    <hyperlink ref="L388" r:id="rId386" tooltip="🔗 Ver Mapa" display="🔗 Ver Mapa"/>
    <hyperlink ref="L389" r:id="rId387" tooltip="🔗 Ver Mapa" display="🔗 Ver Mapa"/>
    <hyperlink ref="L390" r:id="rId388" tooltip="🔗 Ver Mapa" display="🔗 Ver Mapa"/>
    <hyperlink ref="L391" r:id="rId389" tooltip="🔗 Ver Mapa" display="🔗 Ver Mapa"/>
    <hyperlink ref="L392" r:id="rId390" tooltip="🔗 Ver Mapa" display="🔗 Ver Mapa"/>
    <hyperlink ref="L393" r:id="rId391" tooltip="🔗 Ver Mapa" display="🔗 Ver Mapa"/>
    <hyperlink ref="L394" r:id="rId392" tooltip="🔗 Ver Mapa" display="🔗 Ver Mapa"/>
    <hyperlink ref="L395" r:id="rId393" tooltip="🔗 Ver Mapa" display="🔗 Ver Mapa"/>
    <hyperlink ref="L396" r:id="rId394" tooltip="🔗 Ver Mapa" display="🔗 Ver Mapa"/>
    <hyperlink ref="L397" r:id="rId395" tooltip="🔗 Ver Mapa" display="🔗 Ver Mapa"/>
    <hyperlink ref="L398" r:id="rId396" tooltip="🔗 Ver Mapa" display="🔗 Ver Mapa"/>
    <hyperlink ref="L399" r:id="rId397" tooltip="🔗 Ver Mapa" display="🔗 Ver Mapa"/>
    <hyperlink ref="L400" r:id="rId398" tooltip="🔗 Ver Mapa" display="🔗 Ver Mapa"/>
    <hyperlink ref="L401" r:id="rId399" tooltip="🔗 Ver Mapa" display="🔗 Ver Mapa"/>
    <hyperlink ref="L402" r:id="rId400" tooltip="🔗 Ver Mapa" display="🔗 Ver Mapa"/>
    <hyperlink ref="L403" r:id="rId401" tooltip="🔗 Ver Mapa" display="🔗 Ver Mapa"/>
    <hyperlink ref="L404" r:id="rId402" tooltip="🔗 Ver Mapa" display="🔗 Ver Mapa"/>
    <hyperlink ref="L405" r:id="rId403" tooltip="🔗 Ver Mapa" display="🔗 Ver Mapa"/>
    <hyperlink ref="L406" r:id="rId404" tooltip="🔗 Ver Mapa" display="🔗 Ver Mapa"/>
    <hyperlink ref="L407" r:id="rId405" tooltip="🔗 Ver Mapa" display="🔗 Ver Mapa"/>
    <hyperlink ref="L408" r:id="rId406" tooltip="🔗 Ver Mapa" display="🔗 Ver Mapa"/>
    <hyperlink ref="L409" r:id="rId407" tooltip="🔗 Ver Mapa" display="🔗 Ver Mapa"/>
    <hyperlink ref="L410" r:id="rId408" tooltip="🔗 Ver Mapa" display="🔗 Ver Mapa"/>
    <hyperlink ref="L411" r:id="rId409" tooltip="🔗 Ver Mapa" display="🔗 Ver Mapa"/>
    <hyperlink ref="L412" r:id="rId410" tooltip="🔗 Ver Mapa" display="🔗 Ver Mapa"/>
    <hyperlink ref="L413" r:id="rId411" tooltip="🔗 Ver Mapa" display="🔗 Ver Mapa"/>
    <hyperlink ref="L414" r:id="rId412" tooltip="🔗 Ver Mapa" display="🔗 Ver Mapa"/>
    <hyperlink ref="L415" r:id="rId413" tooltip="🔗 Ver Mapa" display="🔗 Ver Mapa"/>
    <hyperlink ref="L416" r:id="rId414" tooltip="🔗 Ver Mapa" display="🔗 Ver Mapa"/>
    <hyperlink ref="L417" r:id="rId415" tooltip="🔗 Ver Mapa" display="🔗 Ver Mapa"/>
    <hyperlink ref="L418" r:id="rId416" tooltip="🔗 Ver Mapa" display="🔗 Ver Mapa"/>
    <hyperlink ref="L419" r:id="rId417" tooltip="🔗 Ver Mapa" display="🔗 Ver Mapa"/>
    <hyperlink ref="L420" r:id="rId418" tooltip="🔗 Ver Mapa" display="🔗 Ver Mapa"/>
    <hyperlink ref="L421" r:id="rId419" tooltip="🔗 Ver Mapa" display="🔗 Ver Mapa"/>
    <hyperlink ref="L422" r:id="rId420" tooltip="🔗 Ver Mapa" display="🔗 Ver Mapa"/>
    <hyperlink ref="L423" r:id="rId421" tooltip="🔗 Ver Mapa" display="🔗 Ver Mapa"/>
    <hyperlink ref="L424" r:id="rId422" tooltip="🔗 Ver Mapa" display="🔗 Ver Mapa"/>
    <hyperlink ref="L425" r:id="rId423" tooltip="🔗 Ver Mapa" display="🔗 Ver Mapa"/>
    <hyperlink ref="L426" r:id="rId424" tooltip="🔗 Ver Mapa" display="🔗 Ver Mapa"/>
    <hyperlink ref="L427" r:id="rId425" tooltip="🔗 Ver Mapa" display="🔗 Ver Mapa"/>
    <hyperlink ref="L428" r:id="rId426" tooltip="🔗 Ver Mapa" display="🔗 Ver Mapa"/>
    <hyperlink ref="L429" r:id="rId427" tooltip="🔗 Ver Mapa" display="🔗 Ver Mapa"/>
    <hyperlink ref="L430" r:id="rId428" tooltip="🔗 Ver Mapa" display="🔗 Ver Mapa"/>
    <hyperlink ref="L431" r:id="rId429" tooltip="🔗 Ver Mapa" display="🔗 Ver Mapa"/>
    <hyperlink ref="L432" r:id="rId430" tooltip="🔗 Ver Mapa" display="🔗 Ver Mapa"/>
    <hyperlink ref="L433" r:id="rId431" tooltip="🔗 Ver Mapa" display="🔗 Ver Mapa"/>
    <hyperlink ref="L434" r:id="rId432" tooltip="🔗 Ver Mapa" display="🔗 Ver Mapa"/>
    <hyperlink ref="L435" r:id="rId433" tooltip="🔗 Ver Mapa" display="🔗 Ver Mapa"/>
    <hyperlink ref="L436" r:id="rId434" tooltip="🔗 Ver Mapa" display="🔗 Ver Mapa"/>
    <hyperlink ref="L437" r:id="rId435" tooltip="🔗 Ver Mapa" display="🔗 Ver Mapa"/>
    <hyperlink ref="L438" r:id="rId436" tooltip="🔗 Ver Mapa" display="🔗 Ver Mapa"/>
    <hyperlink ref="L439" r:id="rId437" tooltip="🔗 Ver Mapa" display="🔗 Ver Mapa"/>
    <hyperlink ref="L440" r:id="rId438" tooltip="🔗 Ver Mapa" display="🔗 Ver Mapa"/>
    <hyperlink ref="L441" r:id="rId439" tooltip="🔗 Ver Mapa" display="🔗 Ver Mapa"/>
    <hyperlink ref="L442" r:id="rId440" tooltip="🔗 Ver Mapa" display="🔗 Ver Mapa"/>
    <hyperlink ref="L443" r:id="rId441" tooltip="🔗 Ver Mapa" display="🔗 Ver Mapa"/>
    <hyperlink ref="L444" r:id="rId442" tooltip="🔗 Ver Mapa" display="🔗 Ver Mapa"/>
    <hyperlink ref="L445" r:id="rId443" tooltip="🔗 Ver Mapa" display="🔗 Ver Mapa"/>
    <hyperlink ref="L446" r:id="rId444" tooltip="🔗 Ver Mapa" display="🔗 Ver Mapa"/>
    <hyperlink ref="L447" r:id="rId445" tooltip="🔗 Ver Mapa" display="🔗 Ver Mapa"/>
    <hyperlink ref="L448" r:id="rId446" tooltip="🔗 Ver Mapa" display="🔗 Ver Mapa"/>
    <hyperlink ref="L449" r:id="rId447" tooltip="🔗 Ver Mapa" display="🔗 Ver Mapa"/>
    <hyperlink ref="L450" r:id="rId448" tooltip="🔗 Ver Mapa" display="🔗 Ver Mapa"/>
    <hyperlink ref="L451" r:id="rId449" tooltip="🔗 Ver Mapa" display="🔗 Ver Mapa"/>
    <hyperlink ref="L452" r:id="rId450" tooltip="🔗 Ver Mapa" display="🔗 Ver Mapa"/>
    <hyperlink ref="L453" r:id="rId451" tooltip="🔗 Ver Mapa" display="🔗 Ver Mapa"/>
    <hyperlink ref="L454" r:id="rId452" tooltip="🔗 Ver Mapa" display="🔗 Ver Mapa"/>
    <hyperlink ref="L455" r:id="rId453" tooltip="🔗 Ver Mapa" display="🔗 Ver Mapa"/>
    <hyperlink ref="L456" r:id="rId454" tooltip="🔗 Ver Mapa" display="🔗 Ver Mapa"/>
    <hyperlink ref="L457" r:id="rId455" tooltip="🔗 Ver Mapa" display="🔗 Ver Mapa"/>
    <hyperlink ref="L458" r:id="rId456" tooltip="🔗 Ver Mapa" display="🔗 Ver Mapa"/>
    <hyperlink ref="L459" r:id="rId457" tooltip="🔗 Ver Mapa" display="🔗 Ver Mapa"/>
    <hyperlink ref="L460" r:id="rId458" tooltip="🔗 Ver Mapa" display="🔗 Ver Mapa"/>
    <hyperlink ref="L461" r:id="rId459" tooltip="🔗 Ver Mapa" display="🔗 Ver Mapa"/>
    <hyperlink ref="L462" r:id="rId460" tooltip="🔗 Ver Mapa" display="🔗 Ver Mapa"/>
    <hyperlink ref="L463" r:id="rId461" tooltip="🔗 Ver Mapa" display="🔗 Ver Mapa"/>
    <hyperlink ref="L464" r:id="rId462" tooltip="🔗 Ver Mapa" display="🔗 Ver Mapa"/>
    <hyperlink ref="L465" r:id="rId463" tooltip="🔗 Ver Mapa" display="🔗 Ver Mapa"/>
    <hyperlink ref="L466" r:id="rId464" tooltip="🔗 Ver Mapa" display="🔗 Ver Mapa"/>
    <hyperlink ref="L467" r:id="rId465" tooltip="🔗 Ver Mapa" display="🔗 Ver Mapa"/>
    <hyperlink ref="L468" r:id="rId466" tooltip="🔗 Ver Mapa" display="🔗 Ver Mapa"/>
    <hyperlink ref="L469" r:id="rId467" tooltip="🔗 Ver Mapa" display="🔗 Ver Mapa"/>
    <hyperlink ref="L470" r:id="rId468" tooltip="🔗 Ver Mapa" display="🔗 Ver Mapa"/>
    <hyperlink ref="L471" r:id="rId469" tooltip="🔗 Ver Mapa" display="🔗 Ver Mapa"/>
    <hyperlink ref="L472" r:id="rId470" tooltip="🔗 Ver Mapa" display="🔗 Ver Mapa"/>
    <hyperlink ref="L473" r:id="rId471" tooltip="🔗 Ver Mapa" display="🔗 Ver Mapa"/>
    <hyperlink ref="L474" r:id="rId472" tooltip="🔗 Ver Mapa" display="🔗 Ver Mapa"/>
    <hyperlink ref="L475" r:id="rId473" tooltip="🔗 Ver Mapa" display="🔗 Ver Mapa"/>
    <hyperlink ref="L476" r:id="rId474" tooltip="🔗 Ver Mapa" display="🔗 Ver Mapa"/>
    <hyperlink ref="L477" r:id="rId475" tooltip="🔗 Ver Mapa" display="🔗 Ver Mapa"/>
    <hyperlink ref="L478" r:id="rId476" tooltip="🔗 Ver Mapa" display="🔗 Ver Mapa"/>
    <hyperlink ref="L479" r:id="rId477" tooltip="🔗 Ver Mapa" display="🔗 Ver Mapa"/>
    <hyperlink ref="L480" r:id="rId478" tooltip="🔗 Ver Mapa" display="🔗 Ver Mapa"/>
    <hyperlink ref="L481" r:id="rId479" tooltip="🔗 Ver Mapa" display="🔗 Ver Mapa"/>
    <hyperlink ref="L482" r:id="rId480" tooltip="🔗 Ver Mapa" display="🔗 Ver Mapa"/>
    <hyperlink ref="L483" r:id="rId481" tooltip="🔗 Ver Mapa" display="🔗 Ver Mapa"/>
    <hyperlink ref="L484" r:id="rId482" tooltip="🔗 Ver Mapa" display="🔗 Ver Mapa"/>
    <hyperlink ref="L485" r:id="rId483" tooltip="🔗 Ver Mapa" display="🔗 Ver Mapa"/>
    <hyperlink ref="L486" r:id="rId484" tooltip="🔗 Ver Mapa" display="🔗 Ver Mapa"/>
    <hyperlink ref="L487" r:id="rId485" tooltip="🔗 Ver Mapa" display="🔗 Ver Mapa"/>
    <hyperlink ref="L488" r:id="rId486" tooltip="🔗 Ver Mapa" display="🔗 Ver Mapa"/>
    <hyperlink ref="L489" r:id="rId487" tooltip="🔗 Ver Mapa" display="🔗 Ver Mapa"/>
    <hyperlink ref="L490" r:id="rId488" tooltip="🔗 Ver Mapa" display="🔗 Ver Mapa"/>
    <hyperlink ref="L491" r:id="rId489" tooltip="🔗 Ver Mapa" display="🔗 Ver Mapa"/>
    <hyperlink ref="L492" r:id="rId490" tooltip="🔗 Ver Mapa" display="🔗 Ver Mapa"/>
    <hyperlink ref="L493" r:id="rId491" tooltip="🔗 Ver Mapa" display="🔗 Ver Mapa"/>
    <hyperlink ref="L494" r:id="rId492" tooltip="🔗 Ver Mapa" display="🔗 Ver Mapa"/>
    <hyperlink ref="L495" r:id="rId493" tooltip="🔗 Ver Mapa" display="🔗 Ver Mapa"/>
    <hyperlink ref="L496" r:id="rId494" tooltip="🔗 Ver Mapa" display="🔗 Ver Mapa"/>
    <hyperlink ref="L497" r:id="rId495" tooltip="🔗 Ver Mapa" display="🔗 Ver Mapa"/>
    <hyperlink ref="L498" r:id="rId496" tooltip="🔗 Ver Mapa" display="🔗 Ver Mapa"/>
    <hyperlink ref="L499" r:id="rId497" tooltip="🔗 Ver Mapa" display="🔗 Ver Mapa"/>
    <hyperlink ref="L500" r:id="rId498" tooltip="🔗 Ver Mapa" display="🔗 Ver Mapa"/>
    <hyperlink ref="L501" r:id="rId499" tooltip="🔗 Ver Mapa" display="🔗 Ver Mapa"/>
    <hyperlink ref="L502" r:id="rId500" tooltip="🔗 Ver Mapa" display="🔗 Ver Mapa"/>
    <hyperlink ref="L503" r:id="rId501" tooltip="🔗 Ver Mapa" display="🔗 Ver Mapa"/>
    <hyperlink ref="L504" r:id="rId502" tooltip="🔗 Ver Mapa" display="🔗 Ver Mapa"/>
    <hyperlink ref="L505" r:id="rId503" tooltip="🔗 Ver Mapa" display="🔗 Ver Mapa"/>
    <hyperlink ref="L506" r:id="rId504" tooltip="🔗 Ver Mapa" display="🔗 Ver Mapa"/>
    <hyperlink ref="L507" r:id="rId505" tooltip="🔗 Ver Mapa" display="🔗 Ver Mapa"/>
    <hyperlink ref="L508" r:id="rId506" tooltip="🔗 Ver Mapa" display="🔗 Ver Mapa"/>
    <hyperlink ref="L509" r:id="rId507" tooltip="🔗 Ver Mapa" display="🔗 Ver Mapa"/>
    <hyperlink ref="L510" r:id="rId508" tooltip="🔗 Ver Mapa" display="🔗 Ver Mapa"/>
    <hyperlink ref="L511" r:id="rId509" tooltip="🔗 Ver Mapa" display="🔗 Ver Mapa"/>
    <hyperlink ref="L512" r:id="rId510" tooltip="🔗 Ver Mapa" display="🔗 Ver Mapa"/>
    <hyperlink ref="L513" r:id="rId511" tooltip="🔗 Ver Mapa" display="🔗 Ver Mapa"/>
    <hyperlink ref="L514" r:id="rId512" tooltip="🔗 Ver Mapa" display="🔗 Ver Mapa"/>
    <hyperlink ref="L515" r:id="rId513" tooltip="🔗 Ver Mapa" display="🔗 Ver Mapa"/>
    <hyperlink ref="L516" r:id="rId514" tooltip="🔗 Ver Mapa" display="🔗 Ver Mapa"/>
    <hyperlink ref="L517" r:id="rId515" tooltip="🔗 Ver Mapa" display="🔗 Ver Mapa"/>
    <hyperlink ref="L518" r:id="rId516" tooltip="🔗 Ver Mapa" display="🔗 Ver Mapa"/>
    <hyperlink ref="L519" r:id="rId517" tooltip="🔗 Ver Mapa" display="🔗 Ver Mapa"/>
    <hyperlink ref="L520" r:id="rId518" tooltip="🔗 Ver Mapa" display="🔗 Ver Mapa"/>
    <hyperlink ref="L521" r:id="rId519" tooltip="🔗 Ver Mapa" display="🔗 Ver Mapa"/>
    <hyperlink ref="L522" r:id="rId520" tooltip="🔗 Ver Mapa" display="🔗 Ver Mapa"/>
    <hyperlink ref="L523" r:id="rId521" tooltip="🔗 Ver Mapa" display="🔗 Ver Mapa"/>
    <hyperlink ref="L524" r:id="rId522" tooltip="🔗 Ver Mapa" display="🔗 Ver Mapa"/>
    <hyperlink ref="L525" r:id="rId523" tooltip="🔗 Ver Mapa" display="🔗 Ver Mapa"/>
    <hyperlink ref="L526" r:id="rId524" tooltip="🔗 Ver Mapa" display="🔗 Ver Mapa"/>
    <hyperlink ref="L527" r:id="rId525" tooltip="🔗 Ver Mapa" display="🔗 Ver Mapa"/>
    <hyperlink ref="L528" r:id="rId526" tooltip="🔗 Ver Mapa" display="🔗 Ver Mapa"/>
    <hyperlink ref="L529" r:id="rId527" tooltip="🔗 Ver Mapa" display="🔗 Ver Mapa"/>
    <hyperlink ref="L530" r:id="rId528" tooltip="🔗 Ver Mapa" display="🔗 Ver Mapa"/>
    <hyperlink ref="L531" r:id="rId529" tooltip="🔗 Ver Mapa" display="🔗 Ver Mapa"/>
    <hyperlink ref="L532" r:id="rId530" tooltip="🔗 Ver Mapa" display="🔗 Ver Mapa"/>
    <hyperlink ref="L533" r:id="rId531" tooltip="🔗 Ver Mapa" display="🔗 Ver Mapa"/>
    <hyperlink ref="L534" r:id="rId532" tooltip="🔗 Ver Mapa" display="🔗 Ver Mapa"/>
    <hyperlink ref="L535" r:id="rId533" tooltip="🔗 Ver Mapa" display="🔗 Ver Mapa"/>
    <hyperlink ref="L536" r:id="rId534" tooltip="🔗 Ver Mapa" display="🔗 Ver Mapa"/>
    <hyperlink ref="L537" r:id="rId535" tooltip="🔗 Ver Mapa" display="🔗 Ver Mapa"/>
    <hyperlink ref="L538" r:id="rId536" tooltip="🔗 Ver Mapa" display="🔗 Ver Mapa"/>
    <hyperlink ref="L539" r:id="rId537" tooltip="🔗 Ver Mapa" display="🔗 Ver Mapa"/>
    <hyperlink ref="L540" r:id="rId538" tooltip="🔗 Ver Mapa" display="🔗 Ver Mapa"/>
    <hyperlink ref="L541" r:id="rId539" tooltip="🔗 Ver Mapa" display="🔗 Ver Mapa"/>
    <hyperlink ref="L542" r:id="rId540" tooltip="🔗 Ver Mapa" display="🔗 Ver Mapa"/>
    <hyperlink ref="L543" r:id="rId541" tooltip="🔗 Ver Mapa" display="🔗 Ver Mapa"/>
    <hyperlink ref="L544" r:id="rId542" tooltip="🔗 Ver Mapa" display="🔗 Ver Mapa"/>
    <hyperlink ref="L545" r:id="rId543" tooltip="🔗 Ver Mapa" display="🔗 Ver Mapa"/>
    <hyperlink ref="L546" r:id="rId544" tooltip="🔗 Ver Mapa" display="🔗 Ver Mapa"/>
    <hyperlink ref="L547" r:id="rId545" tooltip="🔗 Ver Mapa" display="🔗 Ver Mapa"/>
    <hyperlink ref="L548" r:id="rId546" tooltip="🔗 Ver Mapa" display="🔗 Ver Mapa"/>
    <hyperlink ref="L549" r:id="rId547" tooltip="🔗 Ver Mapa" display="🔗 Ver Mapa"/>
    <hyperlink ref="L550" r:id="rId548" tooltip="🔗 Ver Mapa" display="🔗 Ver Mapa"/>
    <hyperlink ref="L551" r:id="rId549" tooltip="🔗 Ver Mapa" display="🔗 Ver Mapa"/>
    <hyperlink ref="L552" r:id="rId550" tooltip="🔗 Ver Mapa" display="🔗 Ver Mapa"/>
    <hyperlink ref="L553" r:id="rId551" tooltip="🔗 Ver Mapa" display="🔗 Ver Mapa"/>
    <hyperlink ref="L554" r:id="rId552" tooltip="🔗 Ver Mapa" display="🔗 Ver Mapa"/>
    <hyperlink ref="L555" r:id="rId553" tooltip="🔗 Ver Mapa" display="🔗 Ver Mapa"/>
    <hyperlink ref="L556" r:id="rId554" tooltip="🔗 Ver Mapa" display="🔗 Ver Mapa"/>
    <hyperlink ref="L557" r:id="rId555" tooltip="🔗 Ver Mapa" display="🔗 Ver Mapa"/>
    <hyperlink ref="L558" r:id="rId556" tooltip="🔗 Ver Mapa" display="🔗 Ver Mapa"/>
    <hyperlink ref="L559" r:id="rId557" tooltip="🔗 Ver Mapa" display="🔗 Ver Mapa"/>
    <hyperlink ref="L560" r:id="rId558" tooltip="🔗 Ver Mapa" display="🔗 Ver Mapa"/>
    <hyperlink ref="L561" r:id="rId559" tooltip="🔗 Ver Mapa" display="🔗 Ver Mapa"/>
    <hyperlink ref="L562" r:id="rId560" tooltip="🔗 Ver Mapa" display="🔗 Ver Mapa"/>
    <hyperlink ref="L563" r:id="rId561" tooltip="🔗 Ver Mapa" display="🔗 Ver Mapa"/>
    <hyperlink ref="L564" r:id="rId562" tooltip="🔗 Ver Mapa" display="🔗 Ver Mapa"/>
    <hyperlink ref="L565" r:id="rId563" tooltip="🔗 Ver Mapa" display="🔗 Ver Mapa"/>
    <hyperlink ref="L566" r:id="rId564" tooltip="🔗 Ver Mapa" display="🔗 Ver Mapa"/>
    <hyperlink ref="L567" r:id="rId565" tooltip="🔗 Ver Mapa" display="🔗 Ver Mapa"/>
    <hyperlink ref="L568" r:id="rId566" tooltip="🔗 Ver Mapa" display="🔗 Ver Mapa"/>
    <hyperlink ref="L569" r:id="rId567" tooltip="🔗 Ver Mapa" display="🔗 Ver Mapa"/>
    <hyperlink ref="L570" r:id="rId568" tooltip="🔗 Ver Mapa" display="🔗 Ver Mapa"/>
    <hyperlink ref="L571" r:id="rId569" tooltip="🔗 Ver Mapa" display="🔗 Ver Mapa"/>
    <hyperlink ref="L572" r:id="rId570" tooltip="🔗 Ver Mapa" display="🔗 Ver Mapa"/>
    <hyperlink ref="L573" r:id="rId571" tooltip="🔗 Ver Mapa" display="🔗 Ver Mapa"/>
    <hyperlink ref="L574" r:id="rId572" tooltip="🔗 Ver Mapa" display="🔗 Ver Mapa"/>
    <hyperlink ref="L575" r:id="rId573" tooltip="🔗 Ver Mapa" display="🔗 Ver Mapa"/>
    <hyperlink ref="L576" r:id="rId574" tooltip="🔗 Ver Mapa" display="🔗 Ver Mapa"/>
    <hyperlink ref="L577" r:id="rId575" tooltip="🔗 Ver Mapa" display="🔗 Ver Mapa"/>
    <hyperlink ref="L578" r:id="rId576" tooltip="🔗 Ver Mapa" display="🔗 Ver Mapa"/>
    <hyperlink ref="L579" r:id="rId577" tooltip="🔗 Ver Mapa" display="🔗 Ver Mapa"/>
    <hyperlink ref="L580" r:id="rId578" tooltip="🔗 Ver Mapa" display="🔗 Ver Mapa"/>
    <hyperlink ref="L581" r:id="rId579" tooltip="🔗 Ver Mapa" display="🔗 Ver Mapa"/>
    <hyperlink ref="L582" r:id="rId580" tooltip="🔗 Ver Mapa" display="🔗 Ver Mapa"/>
    <hyperlink ref="L583" r:id="rId581" tooltip="🔗 Ver Mapa" display="🔗 Ver Mapa"/>
    <hyperlink ref="L584" r:id="rId582" tooltip="🔗 Ver Mapa" display="🔗 Ver Mapa"/>
    <hyperlink ref="L585" r:id="rId583" tooltip="🔗 Ver Mapa" display="🔗 Ver Mapa"/>
    <hyperlink ref="L586" r:id="rId584" tooltip="🔗 Ver Mapa" display="🔗 Ver Mapa"/>
    <hyperlink ref="L587" r:id="rId585" tooltip="🔗 Ver Mapa" display="🔗 Ver Mapa"/>
    <hyperlink ref="L588" r:id="rId586" tooltip="🔗 Ver Mapa" display="🔗 Ver Mapa"/>
    <hyperlink ref="L589" r:id="rId587" tooltip="🔗 Ver Mapa" display="🔗 Ver Mapa"/>
    <hyperlink ref="L590" r:id="rId588" tooltip="🔗 Ver Mapa" display="🔗 Ver Mapa"/>
    <hyperlink ref="L591" r:id="rId589" tooltip="🔗 Ver Mapa" display="🔗 Ver Mapa"/>
    <hyperlink ref="L592" r:id="rId590" tooltip="🔗 Ver Mapa" display="🔗 Ver Mapa"/>
    <hyperlink ref="L593" r:id="rId591" tooltip="🔗 Ver Mapa" display="🔗 Ver Mapa"/>
    <hyperlink ref="L594" r:id="rId592" tooltip="🔗 Ver Mapa" display="🔗 Ver Mapa"/>
    <hyperlink ref="L595" r:id="rId593" tooltip="🔗 Ver Mapa" display="🔗 Ver Mapa"/>
    <hyperlink ref="L596" r:id="rId594" tooltip="🔗 Ver Mapa" display="🔗 Ver Mapa"/>
    <hyperlink ref="L597" r:id="rId595" tooltip="🔗 Ver Mapa" display="🔗 Ver Mapa"/>
    <hyperlink ref="L598" r:id="rId596" tooltip="🔗 Ver Mapa" display="🔗 Ver Mapa"/>
    <hyperlink ref="L599" r:id="rId597" tooltip="🔗 Ver Mapa" display="🔗 Ver Mapa"/>
    <hyperlink ref="L600" r:id="rId598" tooltip="🔗 Ver Mapa" display="🔗 Ver Mapa"/>
    <hyperlink ref="L601" r:id="rId599" tooltip="🔗 Ver Mapa" display="🔗 Ver Mapa"/>
    <hyperlink ref="L602" r:id="rId600" tooltip="🔗 Ver Mapa" display="🔗 Ver Mapa"/>
    <hyperlink ref="L603" r:id="rId601" tooltip="🔗 Ver Mapa" display="🔗 Ver Mapa"/>
    <hyperlink ref="L604" r:id="rId602" tooltip="🔗 Ver Mapa" display="🔗 Ver Mapa"/>
    <hyperlink ref="L605" r:id="rId603" tooltip="🔗 Ver Mapa" display="🔗 Ver Mapa"/>
    <hyperlink ref="L606" r:id="rId604" tooltip="🔗 Ver Mapa" display="🔗 Ver Mapa"/>
    <hyperlink ref="L607" r:id="rId605" tooltip="🔗 Ver Mapa" display="🔗 Ver Mapa"/>
    <hyperlink ref="L608" r:id="rId606" tooltip="🔗 Ver Mapa" display="🔗 Ver Mapa"/>
    <hyperlink ref="L609" r:id="rId607" tooltip="🔗 Ver Mapa" display="🔗 Ver Mapa"/>
    <hyperlink ref="L610" r:id="rId608" tooltip="🔗 Ver Mapa" display="🔗 Ver Mapa"/>
    <hyperlink ref="L611" r:id="rId609" tooltip="🔗 Ver Mapa" display="🔗 Ver Mapa"/>
    <hyperlink ref="L612" r:id="rId610" tooltip="🔗 Ver Mapa" display="🔗 Ver Mapa"/>
    <hyperlink ref="L613" r:id="rId611" tooltip="🔗 Ver Mapa" display="🔗 Ver Mapa"/>
    <hyperlink ref="L614" r:id="rId612" tooltip="🔗 Ver Mapa" display="🔗 Ver Mapa"/>
    <hyperlink ref="L615" r:id="rId613" tooltip="🔗 Ver Mapa" display="🔗 Ver Mapa"/>
    <hyperlink ref="L616" r:id="rId614" tooltip="🔗 Ver Mapa" display="🔗 Ver Mapa"/>
    <hyperlink ref="L617" r:id="rId615" tooltip="🔗 Ver Mapa" display="🔗 Ver Mapa"/>
    <hyperlink ref="L618" r:id="rId616" tooltip="🔗 Ver Mapa" display="🔗 Ver Mapa"/>
    <hyperlink ref="L619" r:id="rId617" tooltip="🔗 Ver Mapa" display="🔗 Ver Mapa"/>
    <hyperlink ref="L620" r:id="rId618" tooltip="🔗 Ver Mapa" display="🔗 Ver Mapa"/>
    <hyperlink ref="L621" r:id="rId619" tooltip="🔗 Ver Mapa" display="🔗 Ver Mapa"/>
    <hyperlink ref="L622" r:id="rId620" tooltip="🔗 Ver Mapa" display="🔗 Ver Mapa"/>
    <hyperlink ref="L623" r:id="rId621" tooltip="🔗 Ver Mapa" display="🔗 Ver Mapa"/>
    <hyperlink ref="L624" r:id="rId622" tooltip="🔗 Ver Mapa" display="🔗 Ver Mapa"/>
    <hyperlink ref="L625" r:id="rId623" tooltip="🔗 Ver Mapa" display="🔗 Ver Mapa"/>
    <hyperlink ref="L626" r:id="rId624" tooltip="🔗 Ver Mapa" display="🔗 Ver Mapa"/>
    <hyperlink ref="L627" r:id="rId625" tooltip="🔗 Ver Mapa" display="🔗 Ver Mapa"/>
    <hyperlink ref="L628" r:id="rId626" tooltip="🔗 Ver Mapa" display="🔗 Ver Mapa"/>
    <hyperlink ref="L629" r:id="rId627" tooltip="🔗 Ver Mapa" display="🔗 Ver Mapa"/>
    <hyperlink ref="L630" r:id="rId628" tooltip="🔗 Ver Mapa" display="🔗 Ver Mapa"/>
    <hyperlink ref="L631" r:id="rId629" tooltip="🔗 Ver Mapa" display="🔗 Ver Mapa"/>
    <hyperlink ref="L632" r:id="rId630" tooltip="🔗 Ver Mapa" display="🔗 Ver Mapa"/>
    <hyperlink ref="L633" r:id="rId631" tooltip="🔗 Ver Mapa" display="🔗 Ver Mapa"/>
    <hyperlink ref="L634" r:id="rId632" tooltip="🔗 Ver Mapa" display="🔗 Ver Mapa"/>
    <hyperlink ref="L635" r:id="rId633" tooltip="🔗 Ver Mapa" display="🔗 Ver Mapa"/>
    <hyperlink ref="L636" r:id="rId634" tooltip="🔗 Ver Mapa" display="🔗 Ver Mapa"/>
    <hyperlink ref="L637" r:id="rId635" tooltip="🔗 Ver Mapa" display="🔗 Ver Mapa"/>
    <hyperlink ref="L638" r:id="rId636" tooltip="🔗 Ver Mapa" display="🔗 Ver Mapa"/>
    <hyperlink ref="L639" r:id="rId637" tooltip="🔗 Ver Mapa" display="🔗 Ver Mapa"/>
    <hyperlink ref="L640" r:id="rId638" tooltip="🔗 Ver Mapa" display="🔗 Ver Mapa"/>
    <hyperlink ref="L641" r:id="rId639" tooltip="🔗 Ver Mapa" display="🔗 Ver Mapa"/>
    <hyperlink ref="L642" r:id="rId640" tooltip="🔗 Ver Mapa" display="🔗 Ver Mapa"/>
    <hyperlink ref="L643" r:id="rId641" tooltip="🔗 Ver Mapa" display="🔗 Ver Mapa"/>
    <hyperlink ref="L644" r:id="rId642" tooltip="🔗 Ver Mapa" display="🔗 Ver Mapa"/>
    <hyperlink ref="L645" r:id="rId643" tooltip="🔗 Ver Mapa" display="🔗 Ver Mapa"/>
    <hyperlink ref="L646" r:id="rId644" tooltip="🔗 Ver Mapa" display="🔗 Ver Mapa"/>
    <hyperlink ref="L647" r:id="rId645" tooltip="🔗 Ver Mapa" display="🔗 Ver Mapa"/>
    <hyperlink ref="L648" r:id="rId646" tooltip="🔗 Ver Mapa" display="🔗 Ver Mapa"/>
    <hyperlink ref="L649" r:id="rId647" tooltip="🔗 Ver Mapa" display="🔗 Ver Mapa"/>
    <hyperlink ref="L650" r:id="rId648" tooltip="🔗 Ver Mapa" display="🔗 Ver Mapa"/>
    <hyperlink ref="L651" r:id="rId649" tooltip="🔗 Ver Mapa" display="🔗 Ver Mapa"/>
    <hyperlink ref="L652" r:id="rId650" tooltip="🔗 Ver Mapa" display="🔗 Ver Mapa"/>
    <hyperlink ref="L653" r:id="rId651" tooltip="🔗 Ver Mapa" display="🔗 Ver Mapa"/>
    <hyperlink ref="L654" r:id="rId652" tooltip="🔗 Ver Mapa" display="🔗 Ver Mapa"/>
    <hyperlink ref="L655" r:id="rId653" tooltip="🔗 Ver Mapa" display="🔗 Ver Mapa"/>
    <hyperlink ref="L656" r:id="rId654" tooltip="🔗 Ver Mapa" display="🔗 Ver Mapa"/>
    <hyperlink ref="L657" r:id="rId655" tooltip="🔗 Ver Mapa" display="🔗 Ver Mapa"/>
    <hyperlink ref="L658" r:id="rId656" tooltip="🔗 Ver Mapa" display="🔗 Ver Mapa"/>
    <hyperlink ref="L659" r:id="rId657" tooltip="🔗 Ver Mapa" display="🔗 Ver Mapa"/>
    <hyperlink ref="L660" r:id="rId658" tooltip="🔗 Ver Mapa" display="🔗 Ver Mapa"/>
    <hyperlink ref="L661" r:id="rId659" tooltip="🔗 Ver Mapa" display="🔗 Ver Mapa"/>
    <hyperlink ref="L662" r:id="rId660" tooltip="🔗 Ver Mapa" display="🔗 Ver Mapa"/>
    <hyperlink ref="L663" r:id="rId661" tooltip="🔗 Ver Mapa" display="🔗 Ver Mapa"/>
    <hyperlink ref="L664" r:id="rId662" tooltip="🔗 Ver Mapa" display="🔗 Ver Mapa"/>
    <hyperlink ref="L665" r:id="rId663" tooltip="🔗 Ver Mapa" display="🔗 Ver Mapa"/>
    <hyperlink ref="L666" r:id="rId664" tooltip="🔗 Ver Mapa" display="🔗 Ver Mapa"/>
    <hyperlink ref="L667" r:id="rId665" tooltip="🔗 Ver Mapa" display="🔗 Ver Mapa"/>
    <hyperlink ref="L668" r:id="rId666" tooltip="🔗 Ver Mapa" display="🔗 Ver Mapa"/>
    <hyperlink ref="L669" r:id="rId667" tooltip="🔗 Ver Mapa" display="🔗 Ver Mapa"/>
    <hyperlink ref="L670" r:id="rId668" tooltip="🔗 Ver Mapa" display="🔗 Ver Mapa"/>
    <hyperlink ref="L671" r:id="rId669" tooltip="🔗 Ver Mapa" display="🔗 Ver Mapa"/>
    <hyperlink ref="L672" r:id="rId670" tooltip="🔗 Ver Mapa" display="🔗 Ver Mapa"/>
    <hyperlink ref="L673" r:id="rId671" tooltip="🔗 Ver Mapa" display="🔗 Ver Mapa"/>
    <hyperlink ref="L674" r:id="rId672" tooltip="🔗 Ver Mapa" display="🔗 Ver Mapa"/>
    <hyperlink ref="L675" r:id="rId673" tooltip="🔗 Ver Mapa" display="🔗 Ver Mapa"/>
    <hyperlink ref="L676" r:id="rId674" tooltip="🔗 Ver Mapa" display="🔗 Ver Mapa"/>
    <hyperlink ref="L677" r:id="rId675" tooltip="🔗 Ver Mapa" display="🔗 Ver Mapa"/>
    <hyperlink ref="L678" r:id="rId676" tooltip="🔗 Ver Mapa" display="🔗 Ver Mapa"/>
    <hyperlink ref="L679" r:id="rId677" tooltip="🔗 Ver Mapa" display="🔗 Ver Mapa"/>
    <hyperlink ref="L680" r:id="rId678" tooltip="🔗 Ver Mapa" display="🔗 Ver Mapa"/>
    <hyperlink ref="L681" r:id="rId679" tooltip="🔗 Ver Mapa" display="🔗 Ver Mapa"/>
    <hyperlink ref="L682" r:id="rId680" tooltip="🔗 Ver Mapa" display="🔗 Ver Mapa"/>
    <hyperlink ref="L683" r:id="rId681" tooltip="🔗 Ver Mapa" display="🔗 Ver Mapa"/>
    <hyperlink ref="L684" r:id="rId682" tooltip="🔗 Ver Mapa" display="🔗 Ver Mapa"/>
    <hyperlink ref="L685" r:id="rId683" tooltip="🔗 Ver Mapa" display="🔗 Ver Mapa"/>
    <hyperlink ref="L686" r:id="rId684" tooltip="🔗 Ver Mapa" display="🔗 Ver Mapa"/>
    <hyperlink ref="L687" r:id="rId685" tooltip="🔗 Ver Mapa" display="🔗 Ver Mapa"/>
    <hyperlink ref="L688" r:id="rId686" tooltip="🔗 Ver Mapa" display="🔗 Ver Mapa"/>
    <hyperlink ref="L689" r:id="rId687" tooltip="🔗 Ver Mapa" display="🔗 Ver Mapa"/>
    <hyperlink ref="L690" r:id="rId688" tooltip="🔗 Ver Mapa" display="🔗 Ver Mapa"/>
    <hyperlink ref="L691" r:id="rId689" tooltip="🔗 Ver Mapa" display="🔗 Ver Mapa"/>
    <hyperlink ref="L692" r:id="rId690" tooltip="🔗 Ver Mapa" display="🔗 Ver Mapa"/>
    <hyperlink ref="L693" r:id="rId691" tooltip="🔗 Ver Mapa" display="🔗 Ver Mapa"/>
    <hyperlink ref="L694" r:id="rId692" tooltip="🔗 Ver Mapa" display="🔗 Ver Mapa"/>
    <hyperlink ref="L695" r:id="rId693" tooltip="🔗 Ver Mapa" display="🔗 Ver Mapa"/>
    <hyperlink ref="L696" r:id="rId694" tooltip="🔗 Ver Mapa" display="🔗 Ver Mapa"/>
    <hyperlink ref="L697" r:id="rId695" tooltip="🔗 Ver Mapa" display="🔗 Ver Mapa"/>
    <hyperlink ref="L698" r:id="rId696" tooltip="🔗 Ver Mapa" display="🔗 Ver Mapa"/>
    <hyperlink ref="L699" r:id="rId697" tooltip="🔗 Ver Mapa" display="🔗 Ver Mapa"/>
    <hyperlink ref="L700" r:id="rId698" tooltip="🔗 Ver Mapa" display="🔗 Ver Mapa"/>
    <hyperlink ref="L701" r:id="rId699" tooltip="🔗 Ver Mapa" display="🔗 Ver Mapa"/>
    <hyperlink ref="L702" r:id="rId700" tooltip="🔗 Ver Mapa" display="🔗 Ver Mapa"/>
    <hyperlink ref="L703" r:id="rId701" tooltip="🔗 Ver Mapa" display="🔗 Ver Mapa"/>
    <hyperlink ref="L704" r:id="rId702" tooltip="🔗 Ver Mapa" display="🔗 Ver Mapa"/>
    <hyperlink ref="L705" r:id="rId703" tooltip="🔗 Ver Mapa" display="🔗 Ver Mapa"/>
    <hyperlink ref="L706" r:id="rId704" tooltip="🔗 Ver Mapa" display="🔗 Ver Mapa"/>
    <hyperlink ref="L707" r:id="rId705" tooltip="🔗 Ver Mapa" display="🔗 Ver Mapa"/>
    <hyperlink ref="L708" r:id="rId706" tooltip="🔗 Ver Mapa" display="🔗 Ver Mapa"/>
    <hyperlink ref="L709" r:id="rId707" tooltip="🔗 Ver Mapa" display="🔗 Ver Mapa"/>
    <hyperlink ref="L710" r:id="rId708" tooltip="🔗 Ver Mapa" display="🔗 Ver Mapa"/>
    <hyperlink ref="L711" r:id="rId709" tooltip="🔗 Ver Mapa" display="🔗 Ver Mapa"/>
    <hyperlink ref="L712" r:id="rId710" tooltip="🔗 Ver Mapa" display="🔗 Ver Mapa"/>
    <hyperlink ref="L713" r:id="rId711" tooltip="🔗 Ver Mapa" display="🔗 Ver Mapa"/>
    <hyperlink ref="L714" r:id="rId712" tooltip="🔗 Ver Mapa" display="🔗 Ver Mapa"/>
    <hyperlink ref="L715" r:id="rId713" tooltip="🔗 Ver Mapa" display="🔗 Ver Mapa"/>
    <hyperlink ref="L716" r:id="rId714" tooltip="🔗 Ver Mapa" display="🔗 Ver Mapa"/>
    <hyperlink ref="L717" r:id="rId715" tooltip="🔗 Ver Mapa" display="🔗 Ver Mapa"/>
    <hyperlink ref="L718" r:id="rId716" tooltip="🔗 Ver Mapa" display="🔗 Ver Mapa"/>
    <hyperlink ref="L719" r:id="rId717" tooltip="🔗 Ver Mapa" display="🔗 Ver Mapa"/>
    <hyperlink ref="L720" r:id="rId718" tooltip="🔗 Ver Mapa" display="🔗 Ver Mapa"/>
    <hyperlink ref="L721" r:id="rId719" tooltip="🔗 Ver Mapa" display="🔗 Ver Mapa"/>
    <hyperlink ref="L722" r:id="rId720" tooltip="🔗 Ver Mapa" display="🔗 Ver Mapa"/>
    <hyperlink ref="L723" r:id="rId721" tooltip="🔗 Ver Mapa" display="🔗 Ver Mapa"/>
    <hyperlink ref="L724" r:id="rId722" tooltip="🔗 Ver Mapa" display="🔗 Ver Mapa"/>
    <hyperlink ref="L725" r:id="rId723" tooltip="🔗 Ver Mapa" display="🔗 Ver Mapa"/>
    <hyperlink ref="L726" r:id="rId724" tooltip="🔗 Ver Mapa" display="🔗 Ver Mapa"/>
    <hyperlink ref="L727" r:id="rId725" tooltip="🔗 Ver Mapa" display="🔗 Ver Mapa"/>
    <hyperlink ref="L728" r:id="rId726" tooltip="🔗 Ver Mapa" display="🔗 Ver Mapa"/>
    <hyperlink ref="L729" r:id="rId727" tooltip="🔗 Ver Mapa" display="🔗 Ver Mapa"/>
    <hyperlink ref="L730" r:id="rId728" tooltip="🔗 Ver Mapa" display="🔗 Ver Mapa"/>
    <hyperlink ref="L731" r:id="rId729" tooltip="🔗 Ver Mapa" display="🔗 Ver Mapa"/>
    <hyperlink ref="L732" r:id="rId730" tooltip="🔗 Ver Mapa" display="🔗 Ver Mapa"/>
    <hyperlink ref="L733" r:id="rId731" tooltip="🔗 Ver Mapa" display="🔗 Ver Mapa"/>
    <hyperlink ref="L734" r:id="rId732" tooltip="🔗 Ver Mapa" display="🔗 Ver Mapa"/>
    <hyperlink ref="L735" r:id="rId733" tooltip="🔗 Ver Mapa" display="🔗 Ver Mapa"/>
    <hyperlink ref="L736" r:id="rId734" tooltip="🔗 Ver Mapa" display="🔗 Ver Mapa"/>
    <hyperlink ref="L737" r:id="rId735" tooltip="🔗 Ver Mapa" display="🔗 Ver Mapa"/>
    <hyperlink ref="L738" r:id="rId736" tooltip="🔗 Ver Mapa" display="🔗 Ver Mapa"/>
    <hyperlink ref="L739" r:id="rId737" tooltip="🔗 Ver Mapa" display="🔗 Ver Mapa"/>
    <hyperlink ref="L740" r:id="rId738" tooltip="🔗 Ver Mapa" display="🔗 Ver Mapa"/>
    <hyperlink ref="L741" r:id="rId739" tooltip="🔗 Ver Mapa" display="🔗 Ver Mapa"/>
    <hyperlink ref="L742" r:id="rId740" tooltip="🔗 Ver Mapa" display="🔗 Ver Mapa"/>
    <hyperlink ref="L743" r:id="rId741" tooltip="🔗 Ver Mapa" display="🔗 Ver Mapa"/>
    <hyperlink ref="L744" r:id="rId742" tooltip="🔗 Ver Mapa" display="🔗 Ver Mapa"/>
    <hyperlink ref="L745" r:id="rId743" tooltip="🔗 Ver Mapa" display="🔗 Ver Mapa"/>
    <hyperlink ref="L746" r:id="rId744" tooltip="🔗 Ver Mapa" display="🔗 Ver Mapa"/>
    <hyperlink ref="L747" r:id="rId745" tooltip="🔗 Ver Mapa" display="🔗 Ver Mapa"/>
    <hyperlink ref="L748" r:id="rId746" tooltip="🔗 Ver Mapa" display="🔗 Ver Mapa"/>
    <hyperlink ref="L749" r:id="rId747" tooltip="🔗 Ver Mapa" display="🔗 Ver Mapa"/>
    <hyperlink ref="L750" r:id="rId748" tooltip="🔗 Ver Mapa" display="🔗 Ver Mapa"/>
    <hyperlink ref="L751" r:id="rId749" tooltip="🔗 Ver Mapa" display="🔗 Ver Mapa"/>
    <hyperlink ref="L752" r:id="rId750" tooltip="🔗 Ver Mapa" display="🔗 Ver Mapa"/>
    <hyperlink ref="L753" r:id="rId751" tooltip="🔗 Ver Mapa" display="🔗 Ver Mapa"/>
    <hyperlink ref="L754" r:id="rId752" tooltip="🔗 Ver Mapa" display="🔗 Ver Mapa"/>
    <hyperlink ref="L755" r:id="rId753" tooltip="🔗 Ver Mapa" display="🔗 Ver Mapa"/>
    <hyperlink ref="L756" r:id="rId754" tooltip="🔗 Ver Mapa" display="🔗 Ver Mapa"/>
    <hyperlink ref="L757" r:id="rId755" tooltip="🔗 Ver Mapa" display="🔗 Ver Mapa"/>
    <hyperlink ref="L758" r:id="rId756" tooltip="🔗 Ver Mapa" display="🔗 Ver Mapa"/>
    <hyperlink ref="L759" r:id="rId757" tooltip="🔗 Ver Mapa" display="🔗 Ver Mapa"/>
    <hyperlink ref="L760" r:id="rId758" tooltip="🔗 Ver Mapa" display="🔗 Ver Mapa"/>
    <hyperlink ref="L761" r:id="rId759" tooltip="🔗 Ver Mapa" display="🔗 Ver Mapa"/>
    <hyperlink ref="L762" r:id="rId760" tooltip="🔗 Ver Mapa" display="🔗 Ver Mapa"/>
    <hyperlink ref="L763" r:id="rId761" tooltip="🔗 Ver Mapa" display="🔗 Ver Mapa"/>
    <hyperlink ref="L764" r:id="rId762" tooltip="🔗 Ver Mapa" display="🔗 Ver Mapa"/>
    <hyperlink ref="L765" r:id="rId763" tooltip="🔗 Ver Mapa" display="🔗 Ver Mapa"/>
    <hyperlink ref="L766" r:id="rId764" tooltip="🔗 Ver Mapa" display="🔗 Ver Mapa"/>
    <hyperlink ref="L767" r:id="rId765" tooltip="🔗 Ver Mapa" display="🔗 Ver Mapa"/>
    <hyperlink ref="L768" r:id="rId766" tooltip="🔗 Ver Mapa" display="🔗 Ver Mapa"/>
    <hyperlink ref="L769" r:id="rId767" tooltip="🔗 Ver Mapa" display="🔗 Ver Mapa"/>
    <hyperlink ref="L770" r:id="rId768" tooltip="🔗 Ver Mapa" display="🔗 Ver Mapa"/>
    <hyperlink ref="L771" r:id="rId769" tooltip="🔗 Ver Mapa" display="🔗 Ver Mapa"/>
    <hyperlink ref="L772" r:id="rId770" tooltip="🔗 Ver Mapa" display="🔗 Ver Mapa"/>
    <hyperlink ref="L773" r:id="rId771" tooltip="🔗 Ver Mapa" display="🔗 Ver Mapa"/>
    <hyperlink ref="L774" r:id="rId772" tooltip="🔗 Ver Mapa" display="🔗 Ver Mapa"/>
    <hyperlink ref="L775" r:id="rId773" tooltip="🔗 Ver Mapa" display="🔗 Ver Mapa"/>
    <hyperlink ref="L776" r:id="rId774" tooltip="🔗 Ver Mapa" display="🔗 Ver Mapa"/>
    <hyperlink ref="L777" r:id="rId775" tooltip="🔗 Ver Mapa" display="🔗 Ver Mapa"/>
    <hyperlink ref="L778" r:id="rId776" tooltip="🔗 Ver Mapa" display="🔗 Ver Mapa"/>
    <hyperlink ref="L779" r:id="rId777" tooltip="🔗 Ver Mapa" display="🔗 Ver Mapa"/>
    <hyperlink ref="L780" r:id="rId778" tooltip="🔗 Ver Mapa" display="🔗 Ver Mapa"/>
    <hyperlink ref="L781" r:id="rId779" tooltip="🔗 Ver Mapa" display="🔗 Ver Mapa"/>
    <hyperlink ref="L782" r:id="rId780" tooltip="🔗 Ver Mapa" display="🔗 Ver Mapa"/>
    <hyperlink ref="L783" r:id="rId781" tooltip="🔗 Ver Mapa" display="🔗 Ver Mapa"/>
    <hyperlink ref="L784" r:id="rId782" tooltip="🔗 Ver Mapa" display="🔗 Ver Mapa"/>
    <hyperlink ref="L785" r:id="rId783" tooltip="🔗 Ver Mapa" display="🔗 Ver Mapa"/>
    <hyperlink ref="L786" r:id="rId784" tooltip="🔗 Ver Mapa" display="🔗 Ver Mapa"/>
    <hyperlink ref="L787" r:id="rId785" tooltip="🔗 Ver Mapa" display="🔗 Ver Mapa"/>
    <hyperlink ref="L788" r:id="rId786" tooltip="🔗 Ver Mapa" display="🔗 Ver Mapa"/>
    <hyperlink ref="L789" r:id="rId787" tooltip="🔗 Ver Mapa" display="🔗 Ver Mapa"/>
    <hyperlink ref="L790" r:id="rId788" tooltip="🔗 Ver Mapa" display="🔗 Ver Mapa"/>
    <hyperlink ref="L791" r:id="rId789" tooltip="🔗 Ver Mapa" display="🔗 Ver Mapa"/>
    <hyperlink ref="L792" r:id="rId790" tooltip="🔗 Ver Mapa" display="🔗 Ver Mapa"/>
    <hyperlink ref="L793" r:id="rId791" tooltip="🔗 Ver Mapa" display="🔗 Ver Mapa"/>
    <hyperlink ref="L794" r:id="rId792" tooltip="🔗 Ver Mapa" display="🔗 Ver Mapa"/>
    <hyperlink ref="L795" r:id="rId793" tooltip="🔗 Ver Mapa" display="🔗 Ver Mapa"/>
    <hyperlink ref="L796" r:id="rId794" tooltip="🔗 Ver Mapa" display="🔗 Ver Mapa"/>
    <hyperlink ref="L797" r:id="rId795" tooltip="🔗 Ver Mapa" display="🔗 Ver Mapa"/>
    <hyperlink ref="L798" r:id="rId796" tooltip="🔗 Ver Mapa" display="🔗 Ver Mapa"/>
    <hyperlink ref="L799" r:id="rId797" tooltip="🔗 Ver Mapa" display="🔗 Ver Mapa"/>
    <hyperlink ref="L800" r:id="rId798" tooltip="🔗 Ver Mapa" display="🔗 Ver Mapa"/>
    <hyperlink ref="L801" r:id="rId799" tooltip="🔗 Ver Mapa" display="🔗 Ver Mapa"/>
    <hyperlink ref="L802" r:id="rId800" tooltip="🔗 Ver Mapa" display="🔗 Ver Mapa"/>
    <hyperlink ref="L803" r:id="rId801" tooltip="🔗 Ver Mapa" display="🔗 Ver Mapa"/>
    <hyperlink ref="L804" r:id="rId802" tooltip="🔗 Ver Mapa" display="🔗 Ver Mapa"/>
    <hyperlink ref="L805" r:id="rId803" tooltip="🔗 Ver Mapa" display="🔗 Ver Mapa"/>
    <hyperlink ref="L806" r:id="rId804" tooltip="🔗 Ver Mapa" display="🔗 Ver Mapa"/>
    <hyperlink ref="L807" r:id="rId805" tooltip="🔗 Ver Mapa" display="🔗 Ver Mapa"/>
    <hyperlink ref="L808" r:id="rId806" tooltip="🔗 Ver Mapa" display="🔗 Ver Mapa"/>
    <hyperlink ref="L809" r:id="rId807" tooltip="🔗 Ver Mapa" display="🔗 Ver Mapa"/>
    <hyperlink ref="L810" r:id="rId808" tooltip="🔗 Ver Mapa" display="🔗 Ver Mapa"/>
    <hyperlink ref="L811" r:id="rId809" tooltip="🔗 Ver Mapa" display="🔗 Ver Mapa"/>
    <hyperlink ref="L812" r:id="rId810" tooltip="🔗 Ver Mapa" display="🔗 Ver Mapa"/>
    <hyperlink ref="L813" r:id="rId811" tooltip="🔗 Ver Mapa" display="🔗 Ver Mapa"/>
    <hyperlink ref="L814" r:id="rId812" tooltip="🔗 Ver Mapa" display="🔗 Ver Mapa"/>
    <hyperlink ref="L815" r:id="rId813" tooltip="🔗 Ver Mapa" display="🔗 Ver Mapa"/>
    <hyperlink ref="L816" r:id="rId814" tooltip="🔗 Ver Mapa" display="🔗 Ver Mapa"/>
    <hyperlink ref="L817" r:id="rId815" tooltip="🔗 Ver Mapa" display="🔗 Ver Mapa"/>
    <hyperlink ref="L818" r:id="rId816" tooltip="🔗 Ver Mapa" display="🔗 Ver Mapa"/>
    <hyperlink ref="L819" r:id="rId817" tooltip="🔗 Ver Mapa" display="🔗 Ver Mapa"/>
    <hyperlink ref="L820" r:id="rId818" tooltip="🔗 Ver Mapa" display="🔗 Ver Mapa"/>
    <hyperlink ref="L821" r:id="rId819" tooltip="🔗 Ver Mapa" display="🔗 Ver Mapa"/>
    <hyperlink ref="L822" r:id="rId820" tooltip="🔗 Ver Mapa" display="🔗 Ver Mapa"/>
    <hyperlink ref="L823" r:id="rId821" tooltip="🔗 Ver Mapa" display="🔗 Ver Mapa"/>
    <hyperlink ref="L824" r:id="rId822" tooltip="🔗 Ver Mapa" display="🔗 Ver Mapa"/>
    <hyperlink ref="L825" r:id="rId823" tooltip="🔗 Ver Mapa" display="🔗 Ver Mapa"/>
    <hyperlink ref="L826" r:id="rId824" tooltip="🔗 Ver Mapa" display="🔗 Ver Mapa"/>
    <hyperlink ref="L827" r:id="rId825" tooltip="🔗 Ver Mapa" display="🔗 Ver Mapa"/>
    <hyperlink ref="L828" r:id="rId826" tooltip="🔗 Ver Mapa" display="🔗 Ver Mapa"/>
    <hyperlink ref="L829" r:id="rId827" tooltip="🔗 Ver Mapa" display="🔗 Ver Mapa"/>
    <hyperlink ref="L830" r:id="rId828" tooltip="🔗 Ver Mapa" display="🔗 Ver Mapa"/>
    <hyperlink ref="L831" r:id="rId829" tooltip="🔗 Ver Mapa" display="🔗 Ver Mapa"/>
    <hyperlink ref="L832" r:id="rId830" tooltip="🔗 Ver Mapa" display="🔗 Ver Mapa"/>
    <hyperlink ref="L833" r:id="rId831" tooltip="🔗 Ver Mapa" display="🔗 Ver Mapa"/>
    <hyperlink ref="L834" r:id="rId832" tooltip="🔗 Ver Mapa" display="🔗 Ver Mapa"/>
    <hyperlink ref="L835" r:id="rId833" tooltip="🔗 Ver Mapa" display="🔗 Ver Mapa"/>
    <hyperlink ref="L836" r:id="rId834" tooltip="🔗 Ver Mapa" display="🔗 Ver Mapa"/>
    <hyperlink ref="L837" r:id="rId835" tooltip="🔗 Ver Mapa" display="🔗 Ver Mapa"/>
    <hyperlink ref="L838" r:id="rId836" tooltip="🔗 Ver Mapa" display="🔗 Ver Mapa"/>
    <hyperlink ref="L839" r:id="rId837" tooltip="🔗 Ver Mapa" display="🔗 Ver Mapa"/>
    <hyperlink ref="L840" r:id="rId838" tooltip="🔗 Ver Mapa" display="🔗 Ver Mapa"/>
    <hyperlink ref="L841" r:id="rId839" tooltip="🔗 Ver Mapa" display="🔗 Ver Mapa"/>
    <hyperlink ref="L842" r:id="rId840" tooltip="🔗 Ver Mapa" display="🔗 Ver Mapa"/>
    <hyperlink ref="L843" r:id="rId841" tooltip="🔗 Ver Mapa" display="🔗 Ver Mapa"/>
    <hyperlink ref="L844" r:id="rId842" tooltip="🔗 Ver Mapa" display="🔗 Ver Mapa"/>
    <hyperlink ref="L845" r:id="rId843" tooltip="🔗 Ver Mapa" display="🔗 Ver Mapa"/>
    <hyperlink ref="L846" r:id="rId844" tooltip="🔗 Ver Mapa" display="🔗 Ver Mapa"/>
    <hyperlink ref="L847" r:id="rId845" tooltip="🔗 Ver Mapa" display="🔗 Ver Mapa"/>
    <hyperlink ref="L848" r:id="rId846" tooltip="🔗 Ver Mapa" display="🔗 Ver Mapa"/>
    <hyperlink ref="L849" r:id="rId847" tooltip="🔗 Ver Mapa" display="🔗 Ver Mapa"/>
    <hyperlink ref="L850" r:id="rId848" tooltip="🔗 Ver Mapa" display="🔗 Ver Mapa"/>
    <hyperlink ref="L851" r:id="rId849" tooltip="🔗 Ver Mapa" display="🔗 Ver Mapa"/>
    <hyperlink ref="L852" r:id="rId850" tooltip="🔗 Ver Mapa" display="🔗 Ver Mapa"/>
    <hyperlink ref="L853" r:id="rId851" tooltip="🔗 Ver Mapa" display="🔗 Ver Mapa"/>
    <hyperlink ref="L854" r:id="rId852" tooltip="🔗 Ver Mapa" display="🔗 Ver Mapa"/>
    <hyperlink ref="L855" r:id="rId853" tooltip="🔗 Ver Mapa" display="🔗 Ver Mapa"/>
    <hyperlink ref="L856" r:id="rId854" tooltip="🔗 Ver Mapa" display="🔗 Ver Mapa"/>
    <hyperlink ref="L857" r:id="rId855" tooltip="🔗 Ver Mapa" display="🔗 Ver Mapa"/>
    <hyperlink ref="L858" r:id="rId856" tooltip="🔗 Ver Mapa" display="🔗 Ver Mapa"/>
    <hyperlink ref="L859" r:id="rId857" tooltip="🔗 Ver Mapa" display="🔗 Ver Mapa"/>
    <hyperlink ref="L860" r:id="rId858" tooltip="🔗 Ver Mapa" display="🔗 Ver Mapa"/>
    <hyperlink ref="L861" r:id="rId859" tooltip="🔗 Ver Mapa" display="🔗 Ver Mapa"/>
    <hyperlink ref="L862" r:id="rId860" tooltip="🔗 Ver Mapa" display="🔗 Ver Mapa"/>
    <hyperlink ref="L863" r:id="rId861" tooltip="🔗 Ver Mapa" display="🔗 Ver Mapa"/>
    <hyperlink ref="L864" r:id="rId862" tooltip="🔗 Ver Mapa" display="🔗 Ver Mapa"/>
    <hyperlink ref="L865" r:id="rId863" tooltip="🔗 Ver Mapa" display="🔗 Ver Mapa"/>
    <hyperlink ref="L866" r:id="rId864" tooltip="🔗 Ver Mapa" display="🔗 Ver Mapa"/>
    <hyperlink ref="L867" r:id="rId865" tooltip="🔗 Ver Mapa" display="🔗 Ver Mapa"/>
    <hyperlink ref="L868" r:id="rId866" tooltip="🔗 Ver Mapa" display="🔗 Ver Mapa"/>
    <hyperlink ref="L869" r:id="rId867" tooltip="🔗 Ver Mapa" display="🔗 Ver Mapa"/>
    <hyperlink ref="L870" r:id="rId868" tooltip="🔗 Ver Mapa" display="🔗 Ver Mapa"/>
    <hyperlink ref="L871" r:id="rId869" tooltip="🔗 Ver Mapa" display="🔗 Ver Mapa"/>
    <hyperlink ref="L872" r:id="rId870" tooltip="🔗 Ver Mapa" display="🔗 Ver Mapa"/>
    <hyperlink ref="L873" r:id="rId871" tooltip="🔗 Ver Mapa" display="🔗 Ver Mapa"/>
    <hyperlink ref="L874" r:id="rId872" tooltip="🔗 Ver Mapa" display="🔗 Ver Mapa"/>
    <hyperlink ref="L875" r:id="rId873" tooltip="🔗 Ver Mapa" display="🔗 Ver Mapa"/>
    <hyperlink ref="L876" r:id="rId874" tooltip="🔗 Ver Mapa" display="🔗 Ver Mapa"/>
    <hyperlink ref="L877" r:id="rId875" tooltip="🔗 Ver Mapa" display="🔗 Ver Mapa"/>
    <hyperlink ref="L878" r:id="rId876" tooltip="🔗 Ver Mapa" display="🔗 Ver Mapa"/>
    <hyperlink ref="L879" r:id="rId877" tooltip="🔗 Ver Mapa" display="🔗 Ver Mapa"/>
    <hyperlink ref="L880" r:id="rId878" tooltip="🔗 Ver Mapa" display="🔗 Ver Mapa"/>
    <hyperlink ref="L881" r:id="rId879" tooltip="🔗 Ver Mapa" display="🔗 Ver Mapa"/>
    <hyperlink ref="L882" r:id="rId880" tooltip="🔗 Ver Mapa" display="🔗 Ver Mapa"/>
    <hyperlink ref="L883" r:id="rId881" tooltip="🔗 Ver Mapa" display="🔗 Ver Mapa"/>
    <hyperlink ref="L884" r:id="rId882" tooltip="🔗 Ver Mapa" display="🔗 Ver Mapa"/>
    <hyperlink ref="L885" r:id="rId883" tooltip="🔗 Ver Mapa" display="🔗 Ver Mapa"/>
    <hyperlink ref="L886" r:id="rId884" tooltip="🔗 Ver Mapa" display="🔗 Ver Mapa"/>
    <hyperlink ref="L887" r:id="rId885" tooltip="🔗 Ver Mapa" display="🔗 Ver Mapa"/>
    <hyperlink ref="L888" r:id="rId886" tooltip="🔗 Ver Mapa" display="🔗 Ver Mapa"/>
    <hyperlink ref="L889" r:id="rId887" tooltip="🔗 Ver Mapa" display="🔗 Ver Mapa"/>
    <hyperlink ref="L890" r:id="rId888" tooltip="🔗 Ver Mapa" display="🔗 Ver Mapa"/>
    <hyperlink ref="L891" r:id="rId889" tooltip="🔗 Ver Mapa" display="🔗 Ver Mapa"/>
    <hyperlink ref="L892" r:id="rId890" tooltip="🔗 Ver Mapa" display="🔗 Ver Mapa"/>
    <hyperlink ref="L893" r:id="rId891" tooltip="🔗 Ver Mapa" display="🔗 Ver Mapa"/>
    <hyperlink ref="L894" r:id="rId892" tooltip="🔗 Ver Mapa" display="🔗 Ver Mapa"/>
    <hyperlink ref="L895" r:id="rId893" tooltip="🔗 Ver Mapa" display="🔗 Ver Mapa"/>
    <hyperlink ref="L896" r:id="rId894" tooltip="🔗 Ver Mapa" display="🔗 Ver Mapa"/>
    <hyperlink ref="L897" r:id="rId895" tooltip="🔗 Ver Mapa" display="🔗 Ver Mapa"/>
    <hyperlink ref="L898" r:id="rId896" tooltip="🔗 Ver Mapa" display="🔗 Ver Mapa"/>
    <hyperlink ref="L899" r:id="rId897" tooltip="🔗 Ver Mapa" display="🔗 Ver Mapa"/>
    <hyperlink ref="L900" r:id="rId898" tooltip="🔗 Ver Mapa" display="🔗 Ver Mapa"/>
    <hyperlink ref="L901" r:id="rId899" tooltip="🔗 Ver Mapa" display="🔗 Ver Mapa"/>
    <hyperlink ref="L902" r:id="rId900" tooltip="🔗 Ver Mapa" display="🔗 Ver Mapa"/>
    <hyperlink ref="L903" r:id="rId901" tooltip="🔗 Ver Mapa" display="🔗 Ver Mapa"/>
    <hyperlink ref="L904" r:id="rId902" tooltip="🔗 Ver Mapa" display="🔗 Ver Mapa"/>
    <hyperlink ref="L905" r:id="rId903" tooltip="🔗 Ver Mapa" display="🔗 Ver Mapa"/>
    <hyperlink ref="L906" r:id="rId904" tooltip="🔗 Ver Mapa" display="🔗 Ver Mapa"/>
    <hyperlink ref="L907" r:id="rId905" tooltip="🔗 Ver Mapa" display="🔗 Ver Mapa"/>
    <hyperlink ref="L908" r:id="rId906" tooltip="🔗 Ver Mapa" display="🔗 Ver Mapa"/>
    <hyperlink ref="L909" r:id="rId907" tooltip="🔗 Ver Mapa" display="🔗 Ver Mapa"/>
    <hyperlink ref="L910" r:id="rId908" tooltip="🔗 Ver Mapa" display="🔗 Ver Mapa"/>
    <hyperlink ref="L911" r:id="rId909" tooltip="🔗 Ver Mapa" display="🔗 Ver Mapa"/>
    <hyperlink ref="L912" r:id="rId910" tooltip="🔗 Ver Mapa" display="🔗 Ver Mapa"/>
    <hyperlink ref="L913" r:id="rId911" tooltip="🔗 Ver Mapa" display="🔗 Ver Mapa"/>
    <hyperlink ref="L914" r:id="rId912" tooltip="🔗 Ver Mapa" display="🔗 Ver Mapa"/>
    <hyperlink ref="L915" r:id="rId913" tooltip="🔗 Ver Mapa" display="🔗 Ver Mapa"/>
    <hyperlink ref="L916" r:id="rId914" tooltip="🔗 Ver Mapa" display="🔗 Ver Mapa"/>
    <hyperlink ref="L917" r:id="rId915" tooltip="🔗 Ver Mapa" display="🔗 Ver Mapa"/>
    <hyperlink ref="L918" r:id="rId916" tooltip="🔗 Ver Mapa" display="🔗 Ver Mapa"/>
    <hyperlink ref="L919" r:id="rId917" tooltip="🔗 Ver Mapa" display="🔗 Ver Mapa"/>
    <hyperlink ref="L920" r:id="rId918" tooltip="🔗 Ver Mapa" display="🔗 Ver Mapa"/>
    <hyperlink ref="L921" r:id="rId919" tooltip="🔗 Ver Mapa" display="🔗 Ver Mapa"/>
    <hyperlink ref="L922" r:id="rId920" tooltip="🔗 Ver Mapa" display="🔗 Ver Mapa"/>
    <hyperlink ref="L923" r:id="rId921" tooltip="🔗 Ver Mapa" display="🔗 Ver Mapa"/>
    <hyperlink ref="L924" r:id="rId922" tooltip="🔗 Ver Mapa" display="🔗 Ver Mapa"/>
    <hyperlink ref="L925" r:id="rId923" tooltip="🔗 Ver Mapa" display="🔗 Ver Mapa"/>
    <hyperlink ref="L926" r:id="rId924" tooltip="🔗 Ver Mapa" display="🔗 Ver Mapa"/>
    <hyperlink ref="L927" r:id="rId925" tooltip="🔗 Ver Mapa" display="🔗 Ver Mapa"/>
    <hyperlink ref="L928" r:id="rId926" tooltip="🔗 Ver Mapa" display="🔗 Ver Mapa"/>
    <hyperlink ref="L929" r:id="rId927" tooltip="🔗 Ver Mapa" display="🔗 Ver Mapa"/>
    <hyperlink ref="L930" r:id="rId928" tooltip="🔗 Ver Mapa" display="🔗 Ver Mapa"/>
    <hyperlink ref="L931" r:id="rId929" tooltip="🔗 Ver Mapa" display="🔗 Ver Mapa"/>
    <hyperlink ref="L932" r:id="rId930" tooltip="🔗 Ver Mapa" display="🔗 Ver Mapa"/>
    <hyperlink ref="L933" r:id="rId931" tooltip="🔗 Ver Mapa" display="🔗 Ver Mapa"/>
    <hyperlink ref="L934" r:id="rId932" tooltip="🔗 Ver Mapa" display="🔗 Ver Mapa"/>
    <hyperlink ref="L935" r:id="rId933" tooltip="🔗 Ver Mapa" display="🔗 Ver Mapa"/>
    <hyperlink ref="L936" r:id="rId934" tooltip="🔗 Ver Mapa" display="🔗 Ver Mapa"/>
    <hyperlink ref="L937" r:id="rId935" tooltip="🔗 Ver Mapa" display="🔗 Ver Mapa"/>
    <hyperlink ref="L938" r:id="rId936" tooltip="🔗 Ver Mapa" display="🔗 Ver Mapa"/>
    <hyperlink ref="L939" r:id="rId937" tooltip="🔗 Ver Mapa" display="🔗 Ver Mapa"/>
    <hyperlink ref="L940" r:id="rId938" tooltip="🔗 Ver Mapa" display="🔗 Ver Mapa"/>
    <hyperlink ref="L941" r:id="rId939" tooltip="🔗 Ver Mapa" display="🔗 Ver Mapa"/>
    <hyperlink ref="L942" r:id="rId940" tooltip="🔗 Ver Mapa" display="🔗 Ver Mapa"/>
    <hyperlink ref="L943" r:id="rId941" tooltip="🔗 Ver Mapa" display="🔗 Ver Mapa"/>
    <hyperlink ref="L944" r:id="rId942" tooltip="🔗 Ver Mapa" display="🔗 Ver Mapa"/>
    <hyperlink ref="L945" r:id="rId943" tooltip="🔗 Ver Mapa" display="🔗 Ver Mapa"/>
    <hyperlink ref="L946" r:id="rId944" tooltip="🔗 Ver Mapa" display="🔗 Ver Mapa"/>
    <hyperlink ref="L947" r:id="rId945" tooltip="🔗 Ver Mapa" display="🔗 Ver Mapa"/>
    <hyperlink ref="L948" r:id="rId946" tooltip="🔗 Ver Mapa" display="🔗 Ver Mapa"/>
    <hyperlink ref="L949" r:id="rId947" tooltip="🔗 Ver Mapa" display="🔗 Ver Mapa"/>
    <hyperlink ref="L950" r:id="rId948" tooltip="🔗 Ver Mapa" display="🔗 Ver Mapa"/>
    <hyperlink ref="L951" r:id="rId949" tooltip="🔗 Ver Mapa" display="🔗 Ver Mapa"/>
    <hyperlink ref="L952" r:id="rId950" tooltip="🔗 Ver Mapa" display="🔗 Ver Mapa"/>
    <hyperlink ref="L953" r:id="rId951" tooltip="🔗 Ver Mapa" display="🔗 Ver Mapa"/>
    <hyperlink ref="L954" r:id="rId952" tooltip="🔗 Ver Mapa" display="🔗 Ver Mapa"/>
    <hyperlink ref="L955" r:id="rId953" tooltip="🔗 Ver Mapa" display="🔗 Ver Mapa"/>
    <hyperlink ref="L956" r:id="rId954" tooltip="🔗 Ver Mapa" display="🔗 Ver Mapa"/>
    <hyperlink ref="L957" r:id="rId955" tooltip="🔗 Ver Mapa" display="🔗 Ver Mapa"/>
    <hyperlink ref="L958" r:id="rId956" tooltip="🔗 Ver Mapa" display="🔗 Ver Mapa"/>
    <hyperlink ref="L959" r:id="rId957" tooltip="🔗 Ver Mapa" display="🔗 Ver Mapa"/>
    <hyperlink ref="L960" r:id="rId958" tooltip="🔗 Ver Mapa" display="🔗 Ver Mapa"/>
    <hyperlink ref="L961" r:id="rId959" tooltip="🔗 Ver Mapa" display="🔗 Ver Mapa"/>
    <hyperlink ref="L962" r:id="rId960" tooltip="🔗 Ver Mapa" display="🔗 Ver Mapa"/>
    <hyperlink ref="L963" r:id="rId961" tooltip="🔗 Ver Mapa" display="🔗 Ver Mapa"/>
    <hyperlink ref="L964" r:id="rId962" tooltip="🔗 Ver Mapa" display="🔗 Ver Mapa"/>
    <hyperlink ref="L965" r:id="rId963" tooltip="🔗 Ver Mapa" display="🔗 Ver Mapa"/>
    <hyperlink ref="L966" r:id="rId964" tooltip="🔗 Ver Mapa" display="🔗 Ver Mapa"/>
    <hyperlink ref="L967" r:id="rId965" tooltip="🔗 Ver Mapa" display="🔗 Ver Mapa"/>
    <hyperlink ref="L968" r:id="rId966" tooltip="🔗 Ver Mapa" display="🔗 Ver Mapa"/>
    <hyperlink ref="L969" r:id="rId967" tooltip="🔗 Ver Mapa" display="🔗 Ver Mapa"/>
    <hyperlink ref="L970" r:id="rId968" tooltip="🔗 Ver Mapa" display="🔗 Ver Mapa"/>
    <hyperlink ref="L971" r:id="rId969" tooltip="🔗 Ver Mapa" display="🔗 Ver Mapa"/>
    <hyperlink ref="L972" r:id="rId970" tooltip="🔗 Ver Mapa" display="🔗 Ver Mapa"/>
    <hyperlink ref="L973" r:id="rId971" tooltip="🔗 Ver Mapa" display="🔗 Ver Mapa"/>
    <hyperlink ref="L974" r:id="rId972" tooltip="🔗 Ver Mapa" display="🔗 Ver Mapa"/>
    <hyperlink ref="L975" r:id="rId973" tooltip="🔗 Ver Mapa" display="🔗 Ver Mapa"/>
    <hyperlink ref="L976" r:id="rId974" tooltip="🔗 Ver Mapa" display="🔗 Ver Mapa"/>
    <hyperlink ref="L977" r:id="rId975" tooltip="🔗 Ver Mapa" display="🔗 Ver Mapa"/>
    <hyperlink ref="L978" r:id="rId976" tooltip="🔗 Ver Mapa" display="🔗 Ver Mapa"/>
    <hyperlink ref="L979" r:id="rId977" tooltip="🔗 Ver Mapa" display="🔗 Ver Mapa"/>
    <hyperlink ref="L980" r:id="rId978" tooltip="🔗 Ver Mapa" display="🔗 Ver Mapa"/>
    <hyperlink ref="L981" r:id="rId979" tooltip="🔗 Ver Mapa" display="🔗 Ver Mapa"/>
    <hyperlink ref="L982" r:id="rId980" tooltip="🔗 Ver Mapa" display="🔗 Ver Mapa"/>
    <hyperlink ref="L983" r:id="rId981" tooltip="🔗 Ver Mapa" display="🔗 Ver Mapa"/>
    <hyperlink ref="L984" r:id="rId982" tooltip="🔗 Ver Mapa" display="🔗 Ver Mapa"/>
    <hyperlink ref="L985" r:id="rId983" tooltip="🔗 Ver Mapa" display="🔗 Ver Mapa"/>
    <hyperlink ref="L986" r:id="rId984" tooltip="🔗 Ver Mapa" display="🔗 Ver Mapa"/>
    <hyperlink ref="L987" r:id="rId985" tooltip="🔗 Ver Mapa" display="🔗 Ver Mapa"/>
    <hyperlink ref="L988" r:id="rId986" tooltip="🔗 Ver Mapa" display="🔗 Ver Mapa"/>
    <hyperlink ref="L989" r:id="rId987" tooltip="🔗 Ver Mapa" display="🔗 Ver Mapa"/>
    <hyperlink ref="L990" r:id="rId988" tooltip="🔗 Ver Mapa" display="🔗 Ver Mapa"/>
    <hyperlink ref="L991" r:id="rId989" tooltip="🔗 Ver Mapa" display="🔗 Ver Mapa"/>
    <hyperlink ref="L992" r:id="rId990" tooltip="🔗 Ver Mapa" display="🔗 Ver Mapa"/>
    <hyperlink ref="L993" r:id="rId991" tooltip="🔗 Ver Mapa" display="🔗 Ver Mapa"/>
    <hyperlink ref="L994" r:id="rId992" tooltip="🔗 Ver Mapa" display="🔗 Ver Mapa"/>
    <hyperlink ref="L995" r:id="rId993" tooltip="🔗 Ver Mapa" display="🔗 Ver Mapa"/>
    <hyperlink ref="L996" r:id="rId994" tooltip="🔗 Ver Mapa" display="🔗 Ver Mapa"/>
    <hyperlink ref="L997" r:id="rId995" tooltip="🔗 Ver Mapa" display="🔗 Ver Mapa"/>
    <hyperlink ref="L998" r:id="rId996" tooltip="🔗 Ver Mapa" display="🔗 Ver Mapa"/>
    <hyperlink ref="L999" r:id="rId997" tooltip="🔗 Ver Mapa" display="🔗 Ver Mapa"/>
    <hyperlink ref="L1000" r:id="rId998" tooltip="🔗 Ver Mapa" display="🔗 Ver Mapa"/>
    <hyperlink ref="L1001" r:id="rId999" tooltip="🔗 Ver Mapa" display="🔗 Ver Mapa"/>
    <hyperlink ref="L1002" r:id="rId1000" tooltip="🔗 Ver Mapa" display="🔗 Ver Mapa"/>
    <hyperlink ref="L1003" r:id="rId1001" tooltip="🔗 Ver Mapa" display="🔗 Ver Mapa"/>
    <hyperlink ref="L1004" r:id="rId1002" tooltip="🔗 Ver Mapa" display="🔗 Ver Mapa"/>
    <hyperlink ref="L1005" r:id="rId1003" tooltip="🔗 Ver Mapa" display="🔗 Ver Mapa"/>
    <hyperlink ref="L1006" r:id="rId1004" tooltip="🔗 Ver Mapa" display="🔗 Ver Mapa"/>
    <hyperlink ref="L1007" r:id="rId1005" tooltip="🔗 Ver Mapa" display="🔗 Ver Mapa"/>
    <hyperlink ref="L1008" r:id="rId1006" tooltip="🔗 Ver Mapa" display="🔗 Ver Mapa"/>
    <hyperlink ref="L1009" r:id="rId1007" tooltip="🔗 Ver Mapa" display="🔗 Ver Mapa"/>
    <hyperlink ref="L1010" r:id="rId1008" tooltip="🔗 Ver Mapa" display="🔗 Ver Mapa"/>
    <hyperlink ref="L1011" r:id="rId1009" tooltip="🔗 Ver Mapa" display="🔗 Ver Mapa"/>
    <hyperlink ref="L1012" r:id="rId1010" tooltip="🔗 Ver Mapa" display="🔗 Ver Mapa"/>
    <hyperlink ref="L1013" r:id="rId1011" tooltip="🔗 Ver Mapa" display="🔗 Ver Mapa"/>
    <hyperlink ref="L1014" r:id="rId1012" tooltip="🔗 Ver Mapa" display="🔗 Ver Mapa"/>
    <hyperlink ref="L1015" r:id="rId1013" tooltip="🔗 Ver Mapa" display="🔗 Ver Mapa"/>
    <hyperlink ref="L1016" r:id="rId1014" tooltip="🔗 Ver Mapa" display="🔗 Ver Mapa"/>
    <hyperlink ref="L1017" r:id="rId1015" tooltip="🔗 Ver Mapa" display="🔗 Ver Mapa"/>
    <hyperlink ref="L1018" r:id="rId1016" tooltip="🔗 Ver Mapa" display="🔗 Ver Mapa"/>
    <hyperlink ref="L1019" r:id="rId1017" tooltip="🔗 Ver Mapa" display="🔗 Ver Mapa"/>
    <hyperlink ref="L1020" r:id="rId1018" tooltip="🔗 Ver Mapa" display="🔗 Ver Mapa"/>
    <hyperlink ref="L1021" r:id="rId1019" tooltip="🔗 Ver Mapa" display="🔗 Ver Mapa"/>
    <hyperlink ref="L1022" r:id="rId1020" tooltip="🔗 Ver Mapa" display="🔗 Ver Mapa"/>
    <hyperlink ref="L1023" r:id="rId1021" tooltip="🔗 Ver Mapa" display="🔗 Ver Mapa"/>
    <hyperlink ref="L1024" r:id="rId1022" tooltip="🔗 Ver Mapa" display="🔗 Ver Mapa"/>
    <hyperlink ref="L1025" r:id="rId1023" tooltip="🔗 Ver Mapa" display="🔗 Ver Mapa"/>
    <hyperlink ref="L1026" r:id="rId1024" tooltip="🔗 Ver Mapa" display="🔗 Ver Mapa"/>
    <hyperlink ref="L1027" r:id="rId1025" tooltip="🔗 Ver Mapa" display="🔗 Ver Mapa"/>
    <hyperlink ref="L1028" r:id="rId1026" tooltip="🔗 Ver Mapa" display="🔗 Ver Mapa"/>
    <hyperlink ref="L1029" r:id="rId1027" tooltip="🔗 Ver Mapa" display="🔗 Ver Mapa"/>
    <hyperlink ref="L1030" r:id="rId1028" tooltip="🔗 Ver Mapa" display="🔗 Ver Mapa"/>
    <hyperlink ref="L1031" r:id="rId1029" tooltip="🔗 Ver Mapa" display="🔗 Ver Mapa"/>
    <hyperlink ref="L1032" r:id="rId1030" tooltip="🔗 Ver Mapa" display="🔗 Ver Mapa"/>
    <hyperlink ref="L1033" r:id="rId1031" tooltip="🔗 Ver Mapa" display="🔗 Ver Mapa"/>
    <hyperlink ref="L1034" r:id="rId1032" tooltip="🔗 Ver Mapa" display="🔗 Ver Mapa"/>
    <hyperlink ref="L1035" r:id="rId1033" tooltip="🔗 Ver Mapa" display="🔗 Ver Mapa"/>
    <hyperlink ref="L1036" r:id="rId1034" tooltip="🔗 Ver Mapa" display="🔗 Ver Mapa"/>
    <hyperlink ref="L1037" r:id="rId1035" tooltip="🔗 Ver Mapa" display="🔗 Ver Mapa"/>
    <hyperlink ref="L1038" r:id="rId1036" tooltip="🔗 Ver Mapa" display="🔗 Ver Mapa"/>
    <hyperlink ref="L1039" r:id="rId1037" tooltip="🔗 Ver Mapa" display="🔗 Ver Mapa"/>
    <hyperlink ref="L1040" r:id="rId1038" tooltip="🔗 Ver Mapa" display="🔗 Ver Mapa"/>
    <hyperlink ref="L1041" r:id="rId1039" tooltip="🔗 Ver Mapa" display="🔗 Ver Mapa"/>
    <hyperlink ref="L1042" r:id="rId1040" tooltip="🔗 Ver Mapa" display="🔗 Ver Mapa"/>
    <hyperlink ref="L1043" r:id="rId1041" tooltip="🔗 Ver Mapa" display="🔗 Ver Mapa"/>
    <hyperlink ref="L1044" r:id="rId1042" tooltip="🔗 Ver Mapa" display="🔗 Ver Mapa"/>
    <hyperlink ref="L1045" r:id="rId1043" tooltip="🔗 Ver Mapa" display="🔗 Ver Mapa"/>
    <hyperlink ref="L1046" r:id="rId1044" tooltip="🔗 Ver Mapa" display="🔗 Ver Mapa"/>
    <hyperlink ref="L1047" r:id="rId1045" tooltip="🔗 Ver Mapa" display="🔗 Ver Mapa"/>
    <hyperlink ref="L1048" r:id="rId1046" tooltip="🔗 Ver Mapa" display="🔗 Ver Mapa"/>
    <hyperlink ref="L1049" r:id="rId1047" tooltip="🔗 Ver Mapa" display="🔗 Ver Mapa"/>
    <hyperlink ref="L1050" r:id="rId1048" tooltip="🔗 Ver Mapa" display="🔗 Ver Mapa"/>
    <hyperlink ref="L1051" r:id="rId1049" tooltip="🔗 Ver Mapa" display="🔗 Ver Mapa"/>
    <hyperlink ref="L1052" r:id="rId1050" tooltip="🔗 Ver Mapa" display="🔗 Ver Mapa"/>
    <hyperlink ref="L1053" r:id="rId1051" tooltip="🔗 Ver Mapa" display="🔗 Ver Mapa"/>
    <hyperlink ref="L1054" r:id="rId1052" tooltip="🔗 Ver Mapa" display="🔗 Ver Mapa"/>
    <hyperlink ref="L1055" r:id="rId1053" tooltip="🔗 Ver Mapa" display="🔗 Ver Mapa"/>
    <hyperlink ref="L1056" r:id="rId1054" tooltip="🔗 Ver Mapa" display="🔗 Ver Mapa"/>
    <hyperlink ref="L1057" r:id="rId1055" tooltip="🔗 Ver Mapa" display="🔗 Ver Mapa"/>
    <hyperlink ref="L1058" r:id="rId1056" tooltip="🔗 Ver Mapa" display="🔗 Ver Mapa"/>
    <hyperlink ref="L1059" r:id="rId1057" tooltip="🔗 Ver Mapa" display="🔗 Ver Mapa"/>
    <hyperlink ref="L1060" r:id="rId1058" tooltip="🔗 Ver Mapa" display="🔗 Ver Mapa"/>
    <hyperlink ref="L1061" r:id="rId1059" tooltip="🔗 Ver Mapa" display="🔗 Ver Mapa"/>
    <hyperlink ref="L1062" r:id="rId1060" tooltip="🔗 Ver Mapa" display="🔗 Ver Mapa"/>
    <hyperlink ref="L1063" r:id="rId1061" tooltip="🔗 Ver Mapa" display="🔗 Ver Mapa"/>
    <hyperlink ref="L1064" r:id="rId1062" tooltip="🔗 Ver Mapa" display="🔗 Ver Mapa"/>
    <hyperlink ref="L1065" r:id="rId1063" tooltip="🔗 Ver Mapa" display="🔗 Ver Mapa"/>
    <hyperlink ref="L1066" r:id="rId1064" tooltip="🔗 Ver Mapa" display="🔗 Ver Mapa"/>
    <hyperlink ref="L1067" r:id="rId1065" tooltip="🔗 Ver Mapa" display="🔗 Ver Mapa"/>
    <hyperlink ref="L1068" r:id="rId1066" tooltip="🔗 Ver Mapa" display="🔗 Ver Mapa"/>
    <hyperlink ref="L1069" r:id="rId1067" tooltip="🔗 Ver Mapa" display="🔗 Ver Mapa"/>
    <hyperlink ref="L1070" r:id="rId1068" tooltip="🔗 Ver Mapa" display="🔗 Ver Mapa"/>
    <hyperlink ref="L1071" r:id="rId1069" tooltip="🔗 Ver Mapa" display="🔗 Ver Mapa"/>
    <hyperlink ref="L1072" r:id="rId1070" tooltip="🔗 Ver Mapa" display="🔗 Ver Mapa"/>
    <hyperlink ref="L1073" r:id="rId1071" tooltip="🔗 Ver Mapa" display="🔗 Ver Mapa"/>
    <hyperlink ref="L1074" r:id="rId1072" tooltip="🔗 Ver Mapa" display="🔗 Ver Mapa"/>
    <hyperlink ref="L1075" r:id="rId1073" tooltip="🔗 Ver Mapa" display="🔗 Ver Mapa"/>
    <hyperlink ref="L1076" r:id="rId1074" tooltip="🔗 Ver Mapa" display="🔗 Ver Mapa"/>
    <hyperlink ref="L1077" r:id="rId1075" tooltip="🔗 Ver Mapa" display="🔗 Ver Mapa"/>
    <hyperlink ref="L1078" r:id="rId1076" tooltip="🔗 Ver Mapa" display="🔗 Ver Mapa"/>
    <hyperlink ref="L1079" r:id="rId1077" tooltip="🔗 Ver Mapa" display="🔗 Ver Mapa"/>
    <hyperlink ref="L1080" r:id="rId1078" tooltip="🔗 Ver Mapa" display="🔗 Ver Mapa"/>
    <hyperlink ref="L1081" r:id="rId1079" tooltip="🔗 Ver Mapa" display="🔗 Ver Mapa"/>
    <hyperlink ref="L1082" r:id="rId1080" tooltip="🔗 Ver Mapa" display="🔗 Ver Mapa"/>
    <hyperlink ref="L1083" r:id="rId1081" tooltip="🔗 Ver Mapa" display="🔗 Ver Mapa"/>
    <hyperlink ref="L1084" r:id="rId1082" tooltip="🔗 Ver Mapa" display="🔗 Ver Mapa"/>
    <hyperlink ref="L1085" r:id="rId1083" tooltip="🔗 Ver Mapa" display="🔗 Ver Mapa"/>
    <hyperlink ref="L1086" r:id="rId1084" tooltip="🔗 Ver Mapa" display="🔗 Ver Mapa"/>
    <hyperlink ref="L1087" r:id="rId1085" tooltip="🔗 Ver Mapa" display="🔗 Ver Mapa"/>
    <hyperlink ref="L1088" r:id="rId1086" tooltip="🔗 Ver Mapa" display="🔗 Ver Mapa"/>
    <hyperlink ref="L1089" r:id="rId1087" tooltip="🔗 Ver Mapa" display="🔗 Ver Mapa"/>
    <hyperlink ref="L1090" r:id="rId1088" tooltip="🔗 Ver Mapa" display="🔗 Ver Mapa"/>
    <hyperlink ref="L1091" r:id="rId1089" tooltip="🔗 Ver Mapa" display="🔗 Ver Mapa"/>
    <hyperlink ref="L1092" r:id="rId1090" tooltip="🔗 Ver Mapa" display="🔗 Ver Mapa"/>
    <hyperlink ref="L1093" r:id="rId1091" tooltip="🔗 Ver Mapa" display="🔗 Ver Mapa"/>
    <hyperlink ref="L1094" r:id="rId1092" tooltip="🔗 Ver Mapa" display="🔗 Ver Mapa"/>
    <hyperlink ref="L1095" r:id="rId1093" tooltip="🔗 Ver Mapa" display="🔗 Ver Mapa"/>
    <hyperlink ref="L1096" r:id="rId1094" tooltip="🔗 Ver Mapa" display="🔗 Ver Mapa"/>
    <hyperlink ref="L1097" r:id="rId1095" tooltip="🔗 Ver Mapa" display="🔗 Ver Mapa"/>
    <hyperlink ref="L1098" r:id="rId1096" tooltip="🔗 Ver Mapa" display="🔗 Ver Mapa"/>
    <hyperlink ref="L1099" r:id="rId1097" tooltip="🔗 Ver Mapa" display="🔗 Ver Mapa"/>
    <hyperlink ref="L1100" r:id="rId1098" tooltip="🔗 Ver Mapa" display="🔗 Ver Mapa"/>
    <hyperlink ref="L1101" r:id="rId1099" tooltip="🔗 Ver Mapa" display="🔗 Ver Mapa"/>
    <hyperlink ref="L1102" r:id="rId1100" tooltip="🔗 Ver Mapa" display="🔗 Ver Mapa"/>
    <hyperlink ref="L1103" r:id="rId1101" tooltip="🔗 Ver Mapa" display="🔗 Ver Mapa"/>
    <hyperlink ref="L1104" r:id="rId1102" tooltip="🔗 Ver Mapa" display="🔗 Ver Mapa"/>
    <hyperlink ref="L1105" r:id="rId1103" tooltip="🔗 Ver Mapa" display="🔗 Ver Mapa"/>
    <hyperlink ref="L1106" r:id="rId1104" tooltip="🔗 Ver Mapa" display="🔗 Ver Mapa"/>
    <hyperlink ref="L1107" r:id="rId1105" tooltip="🔗 Ver Mapa" display="🔗 Ver Mapa"/>
    <hyperlink ref="L1108" r:id="rId1106" tooltip="🔗 Ver Mapa" display="🔗 Ver Mapa"/>
    <hyperlink ref="L1109" r:id="rId1107" tooltip="🔗 Ver Mapa" display="🔗 Ver Mapa"/>
    <hyperlink ref="L1110" r:id="rId1108" tooltip="🔗 Ver Mapa" display="🔗 Ver Mapa"/>
    <hyperlink ref="L1111" r:id="rId1109" tooltip="🔗 Ver Mapa" display="🔗 Ver Mapa"/>
    <hyperlink ref="L1112" r:id="rId1110" tooltip="🔗 Ver Mapa" display="🔗 Ver Mapa"/>
    <hyperlink ref="L1113" r:id="rId1111" tooltip="🔗 Ver Mapa" display="🔗 Ver Mapa"/>
    <hyperlink ref="L1114" r:id="rId1112" tooltip="🔗 Ver Mapa" display="🔗 Ver Mapa"/>
    <hyperlink ref="L1115" r:id="rId1113" tooltip="🔗 Ver Mapa" display="🔗 Ver Mapa"/>
    <hyperlink ref="L1116" r:id="rId1114" tooltip="🔗 Ver Mapa" display="🔗 Ver Mapa"/>
    <hyperlink ref="L1117" r:id="rId1115" tooltip="🔗 Ver Mapa" display="🔗 Ver Mapa"/>
    <hyperlink ref="L1118" r:id="rId1116" tooltip="🔗 Ver Mapa" display="🔗 Ver Mapa"/>
    <hyperlink ref="L1119" r:id="rId1117" tooltip="🔗 Ver Mapa" display="🔗 Ver Mapa"/>
    <hyperlink ref="L1120" r:id="rId1118" tooltip="🔗 Ver Mapa" display="🔗 Ver Mapa"/>
    <hyperlink ref="L1121" r:id="rId1119" tooltip="🔗 Ver Mapa" display="🔗 Ver Mapa"/>
    <hyperlink ref="L1122" r:id="rId1120" tooltip="🔗 Ver Mapa" display="🔗 Ver Mapa"/>
    <hyperlink ref="L1123" r:id="rId1121" tooltip="🔗 Ver Mapa" display="🔗 Ver Mapa"/>
    <hyperlink ref="L1124" r:id="rId1122" tooltip="🔗 Ver Mapa" display="🔗 Ver Mapa"/>
    <hyperlink ref="L1125" r:id="rId1123" tooltip="🔗 Ver Mapa" display="🔗 Ver Mapa"/>
    <hyperlink ref="L1126" r:id="rId1124" tooltip="🔗 Ver Mapa" display="🔗 Ver Mapa"/>
    <hyperlink ref="L1127" r:id="rId1125" tooltip="🔗 Ver Mapa" display="🔗 Ver Mapa"/>
    <hyperlink ref="L1128" r:id="rId1126" tooltip="🔗 Ver Mapa" display="🔗 Ver Mapa"/>
    <hyperlink ref="L1129" r:id="rId1127" tooltip="🔗 Ver Mapa" display="🔗 Ver Mapa"/>
    <hyperlink ref="L1130" r:id="rId1128" tooltip="🔗 Ver Mapa" display="🔗 Ver Mapa"/>
    <hyperlink ref="L1131" r:id="rId1129" tooltip="🔗 Ver Mapa" display="🔗 Ver Mapa"/>
    <hyperlink ref="L1132" r:id="rId1130" tooltip="🔗 Ver Mapa" display="🔗 Ver Mapa"/>
    <hyperlink ref="L1133" r:id="rId1131" tooltip="🔗 Ver Mapa" display="🔗 Ver Mapa"/>
    <hyperlink ref="L1134" r:id="rId1132" tooltip="🔗 Ver Mapa" display="🔗 Ver Mapa"/>
    <hyperlink ref="L1135" r:id="rId1133" tooltip="🔗 Ver Mapa" display="🔗 Ver Mapa"/>
    <hyperlink ref="L1136" r:id="rId1134" tooltip="🔗 Ver Mapa" display="🔗 Ver Mapa"/>
    <hyperlink ref="L1137" r:id="rId1135" tooltip="🔗 Ver Mapa" display="🔗 Ver Mapa"/>
    <hyperlink ref="L1138" r:id="rId1136" tooltip="🔗 Ver Mapa" display="🔗 Ver Mapa"/>
    <hyperlink ref="L1139" r:id="rId1137" tooltip="🔗 Ver Mapa" display="🔗 Ver Mapa"/>
    <hyperlink ref="L1140" r:id="rId1138" tooltip="🔗 Ver Mapa" display="🔗 Ver Mapa"/>
    <hyperlink ref="L1141" r:id="rId1139" tooltip="🔗 Ver Mapa" display="🔗 Ver Mapa"/>
    <hyperlink ref="L1142" r:id="rId1140" tooltip="🔗 Ver Mapa" display="🔗 Ver Mapa"/>
    <hyperlink ref="L1143" r:id="rId1141" tooltip="🔗 Ver Mapa" display="🔗 Ver Mapa"/>
    <hyperlink ref="L1144" r:id="rId1142" tooltip="🔗 Ver Mapa" display="🔗 Ver Mapa"/>
    <hyperlink ref="L1145" r:id="rId1143" tooltip="🔗 Ver Mapa" display="🔗 Ver Mapa"/>
    <hyperlink ref="L1146" r:id="rId1144" tooltip="🔗 Ver Mapa" display="🔗 Ver Mapa"/>
    <hyperlink ref="L1147" r:id="rId1145" tooltip="🔗 Ver Mapa" display="🔗 Ver Mapa"/>
    <hyperlink ref="L1148" r:id="rId1146" tooltip="🔗 Ver Mapa" display="🔗 Ver Mapa"/>
    <hyperlink ref="L1149" r:id="rId1147" tooltip="🔗 Ver Mapa" display="🔗 Ver Mapa"/>
    <hyperlink ref="L1150" r:id="rId1148" tooltip="🔗 Ver Mapa" display="🔗 Ver Mapa"/>
    <hyperlink ref="L1151" r:id="rId1149" tooltip="🔗 Ver Mapa" display="🔗 Ver Mapa"/>
    <hyperlink ref="L1152" r:id="rId1150" tooltip="🔗 Ver Mapa" display="🔗 Ver Mapa"/>
    <hyperlink ref="L1153" r:id="rId1151" tooltip="🔗 Ver Mapa" display="🔗 Ver Mapa"/>
    <hyperlink ref="L1154" r:id="rId1152" tooltip="🔗 Ver Mapa" display="🔗 Ver Mapa"/>
    <hyperlink ref="L1155" r:id="rId1153" tooltip="🔗 Ver Mapa" display="🔗 Ver Mapa"/>
    <hyperlink ref="L1156" r:id="rId1154" tooltip="🔗 Ver Mapa" display="🔗 Ver Mapa"/>
    <hyperlink ref="L1157" r:id="rId1155" tooltip="🔗 Ver Mapa" display="🔗 Ver Mapa"/>
    <hyperlink ref="L1158" r:id="rId1156" tooltip="🔗 Ver Mapa" display="🔗 Ver Mapa"/>
    <hyperlink ref="L1159" r:id="rId1157" tooltip="🔗 Ver Mapa" display="🔗 Ver Mapa"/>
    <hyperlink ref="L1160" r:id="rId1158" tooltip="🔗 Ver Mapa" display="🔗 Ver Mapa"/>
    <hyperlink ref="L1161" r:id="rId1159" tooltip="🔗 Ver Mapa" display="🔗 Ver Mapa"/>
    <hyperlink ref="L1162" r:id="rId1160" tooltip="🔗 Ver Mapa" display="🔗 Ver Mapa"/>
    <hyperlink ref="L1163" r:id="rId1161" tooltip="🔗 Ver Mapa" display="🔗 Ver Mapa"/>
    <hyperlink ref="L1164" r:id="rId1162" tooltip="🔗 Ver Mapa" display="🔗 Ver Mapa"/>
    <hyperlink ref="L1165" r:id="rId1163" tooltip="🔗 Ver Mapa" display="🔗 Ver Mapa"/>
    <hyperlink ref="L1166" r:id="rId1164" tooltip="🔗 Ver Mapa" display="🔗 Ver Mapa"/>
    <hyperlink ref="L1167" r:id="rId1165" tooltip="🔗 Ver Mapa" display="🔗 Ver Mapa"/>
    <hyperlink ref="L1168" r:id="rId1166" tooltip="🔗 Ver Mapa" display="🔗 Ver Mapa"/>
    <hyperlink ref="L1169" r:id="rId1167" tooltip="🔗 Ver Mapa" display="🔗 Ver Mapa"/>
    <hyperlink ref="L1170" r:id="rId1168" tooltip="🔗 Ver Mapa" display="🔗 Ver Mapa"/>
    <hyperlink ref="L1171" r:id="rId1169" tooltip="🔗 Ver Mapa" display="🔗 Ver Mapa"/>
    <hyperlink ref="L1172" r:id="rId1170" tooltip="🔗 Ver Mapa" display="🔗 Ver Mapa"/>
    <hyperlink ref="L1173" r:id="rId1171" tooltip="🔗 Ver Mapa" display="🔗 Ver Mapa"/>
    <hyperlink ref="L1174" r:id="rId1172" tooltip="🔗 Ver Mapa" display="🔗 Ver Mapa"/>
    <hyperlink ref="L1175" r:id="rId1173" tooltip="🔗 Ver Mapa" display="🔗 Ver Mapa"/>
    <hyperlink ref="L1176" r:id="rId1174" tooltip="🔗 Ver Mapa" display="🔗 Ver Mapa"/>
    <hyperlink ref="L1177" r:id="rId1175" tooltip="🔗 Ver Mapa" display="🔗 Ver Mapa"/>
    <hyperlink ref="L1178" r:id="rId1176" tooltip="🔗 Ver Mapa" display="🔗 Ver Mapa"/>
    <hyperlink ref="L1179" r:id="rId1177" tooltip="🔗 Ver Mapa" display="🔗 Ver Mapa"/>
    <hyperlink ref="L1180" r:id="rId1178" tooltip="🔗 Ver Mapa" display="🔗 Ver Mapa"/>
    <hyperlink ref="L1181" r:id="rId1179" tooltip="🔗 Ver Mapa" display="🔗 Ver Mapa"/>
    <hyperlink ref="L1182" r:id="rId1180" tooltip="🔗 Ver Mapa" display="🔗 Ver Mapa"/>
    <hyperlink ref="L1183" r:id="rId1181" tooltip="🔗 Ver Mapa" display="🔗 Ver Mapa"/>
    <hyperlink ref="L1184" r:id="rId1182" tooltip="🔗 Ver Mapa" display="🔗 Ver Mapa"/>
    <hyperlink ref="L1185" r:id="rId1183" tooltip="🔗 Ver Mapa" display="🔗 Ver Mapa"/>
    <hyperlink ref="L1186" r:id="rId1184" tooltip="🔗 Ver Mapa" display="🔗 Ver Mapa"/>
    <hyperlink ref="L1187" r:id="rId1185" tooltip="🔗 Ver Mapa" display="🔗 Ver Mapa"/>
    <hyperlink ref="L1188" r:id="rId1186" tooltip="🔗 Ver Mapa" display="🔗 Ver Mapa"/>
    <hyperlink ref="L1189" r:id="rId1187" tooltip="🔗 Ver Mapa" display="🔗 Ver Mapa"/>
    <hyperlink ref="L1190" r:id="rId1188" tooltip="🔗 Ver Mapa" display="🔗 Ver Mapa"/>
    <hyperlink ref="L1191" r:id="rId1189" tooltip="🔗 Ver Mapa" display="🔗 Ver Mapa"/>
    <hyperlink ref="L1192" r:id="rId1190" tooltip="🔗 Ver Mapa" display="🔗 Ver Mapa"/>
    <hyperlink ref="L1193" r:id="rId1191" tooltip="🔗 Ver Mapa" display="🔗 Ver Mapa"/>
    <hyperlink ref="L1194" r:id="rId1192" tooltip="🔗 Ver Mapa" display="🔗 Ver Mapa"/>
    <hyperlink ref="L1195" r:id="rId1193" tooltip="🔗 Ver Mapa" display="🔗 Ver Mapa"/>
    <hyperlink ref="L1196" r:id="rId1194" tooltip="🔗 Ver Mapa" display="🔗 Ver Mapa"/>
    <hyperlink ref="L1197" r:id="rId1195" tooltip="🔗 Ver Mapa" display="🔗 Ver Mapa"/>
    <hyperlink ref="L1198" r:id="rId1196" tooltip="🔗 Ver Mapa" display="🔗 Ver Mapa"/>
    <hyperlink ref="L1199" r:id="rId1197" tooltip="🔗 Ver Mapa" display="🔗 Ver Mapa"/>
    <hyperlink ref="L1200" r:id="rId1198" tooltip="🔗 Ver Mapa" display="🔗 Ver Mapa"/>
    <hyperlink ref="L1201" r:id="rId1199" tooltip="🔗 Ver Mapa" display="🔗 Ver Mapa"/>
    <hyperlink ref="L1202" r:id="rId1200" tooltip="🔗 Ver Mapa" display="🔗 Ver Mapa"/>
    <hyperlink ref="L1203" r:id="rId1201" tooltip="🔗 Ver Mapa" display="🔗 Ver Mapa"/>
    <hyperlink ref="L1204" r:id="rId1202" tooltip="🔗 Ver Mapa" display="🔗 Ver Mapa"/>
    <hyperlink ref="L1205" r:id="rId1203" tooltip="🔗 Ver Mapa" display="🔗 Ver Mapa"/>
    <hyperlink ref="L1206" r:id="rId1204" tooltip="🔗 Ver Mapa" display="🔗 Ver Mapa"/>
    <hyperlink ref="L1207" r:id="rId1205" tooltip="🔗 Ver Mapa" display="🔗 Ver Mapa"/>
    <hyperlink ref="L1208" r:id="rId1206" tooltip="🔗 Ver Mapa" display="🔗 Ver Mapa"/>
    <hyperlink ref="L1209" r:id="rId1207" tooltip="🔗 Ver Mapa" display="🔗 Ver Mapa"/>
    <hyperlink ref="L1210" r:id="rId1208" tooltip="🔗 Ver Mapa" display="🔗 Ver Mapa"/>
    <hyperlink ref="L1211" r:id="rId1209" tooltip="🔗 Ver Mapa" display="🔗 Ver Mapa"/>
    <hyperlink ref="L1212" r:id="rId1210" tooltip="🔗 Ver Mapa" display="🔗 Ver Mapa"/>
    <hyperlink ref="L1213" r:id="rId1211" tooltip="🔗 Ver Mapa" display="🔗 Ver Mapa"/>
    <hyperlink ref="L1214" r:id="rId1212" tooltip="🔗 Ver Mapa" display="🔗 Ver Mapa"/>
    <hyperlink ref="L1215" r:id="rId1213" tooltip="🔗 Ver Mapa" display="🔗 Ver Mapa"/>
    <hyperlink ref="L1216" r:id="rId1214" tooltip="🔗 Ver Mapa" display="🔗 Ver Mapa"/>
    <hyperlink ref="L1217" r:id="rId1215" tooltip="🔗 Ver Mapa" display="🔗 Ver Mapa"/>
    <hyperlink ref="L1218" r:id="rId1216" tooltip="🔗 Ver Mapa" display="🔗 Ver Mapa"/>
    <hyperlink ref="L1219" r:id="rId1217" tooltip="🔗 Ver Mapa" display="🔗 Ver Mapa"/>
    <hyperlink ref="L1220" r:id="rId1218" tooltip="🔗 Ver Mapa" display="🔗 Ver Mapa"/>
    <hyperlink ref="L1221" r:id="rId1219" tooltip="🔗 Ver Mapa" display="🔗 Ver Mapa"/>
    <hyperlink ref="L1222" r:id="rId1220" tooltip="🔗 Ver Mapa" display="🔗 Ver Mapa"/>
    <hyperlink ref="L1223" r:id="rId1221" tooltip="🔗 Ver Mapa" display="🔗 Ver Mapa"/>
    <hyperlink ref="L1224" r:id="rId1222" tooltip="🔗 Ver Mapa" display="🔗 Ver Mapa"/>
    <hyperlink ref="L1225" r:id="rId1223" tooltip="🔗 Ver Mapa" display="🔗 Ver Mapa"/>
    <hyperlink ref="L1226" r:id="rId1224" tooltip="🔗 Ver Mapa" display="🔗 Ver Mapa"/>
    <hyperlink ref="L1227" r:id="rId1225" tooltip="🔗 Ver Mapa" display="🔗 Ver Mapa"/>
    <hyperlink ref="L1228" r:id="rId1226" tooltip="🔗 Ver Mapa" display="🔗 Ver Mapa"/>
    <hyperlink ref="L1229" r:id="rId1227" tooltip="🔗 Ver Mapa" display="🔗 Ver Mapa"/>
    <hyperlink ref="L1230" r:id="rId1228" tooltip="🔗 Ver Mapa" display="🔗 Ver Mapa"/>
    <hyperlink ref="L1231" r:id="rId1229" tooltip="🔗 Ver Mapa" display="🔗 Ver Mapa"/>
    <hyperlink ref="L1232" r:id="rId1230" tooltip="🔗 Ver Mapa" display="🔗 Ver Mapa"/>
    <hyperlink ref="L1233" r:id="rId1231" tooltip="🔗 Ver Mapa" display="🔗 Ver Mapa"/>
    <hyperlink ref="L1234" r:id="rId1232" tooltip="🔗 Ver Mapa" display="🔗 Ver Mapa"/>
    <hyperlink ref="L1235" r:id="rId1233" tooltip="🔗 Ver Mapa" display="🔗 Ver Mapa"/>
    <hyperlink ref="L1236" r:id="rId1234" tooltip="🔗 Ver Mapa" display="🔗 Ver Mapa"/>
    <hyperlink ref="L1237" r:id="rId1235" tooltip="🔗 Ver Mapa" display="🔗 Ver Mapa"/>
    <hyperlink ref="L1238" r:id="rId1236" tooltip="🔗 Ver Mapa" display="🔗 Ver Mapa"/>
    <hyperlink ref="L1239" r:id="rId1237" tooltip="🔗 Ver Mapa" display="🔗 Ver Mapa"/>
    <hyperlink ref="L1240" r:id="rId1238" tooltip="🔗 Ver Mapa" display="🔗 Ver Mapa"/>
    <hyperlink ref="L1241" r:id="rId1239" tooltip="🔗 Ver Mapa" display="🔗 Ver Mapa"/>
    <hyperlink ref="L1242" r:id="rId1240" tooltip="🔗 Ver Mapa" display="🔗 Ver Mapa"/>
    <hyperlink ref="L1243" r:id="rId1241" tooltip="🔗 Ver Mapa" display="🔗 Ver Mapa"/>
    <hyperlink ref="L1244" r:id="rId1242" tooltip="🔗 Ver Mapa" display="🔗 Ver Mapa"/>
    <hyperlink ref="L1245" r:id="rId1243" tooltip="🔗 Ver Mapa" display="🔗 Ver Mapa"/>
    <hyperlink ref="L1246" r:id="rId1244" tooltip="🔗 Ver Mapa" display="🔗 Ver Mapa"/>
    <hyperlink ref="L1247" r:id="rId1245" tooltip="🔗 Ver Mapa" display="🔗 Ver Mapa"/>
    <hyperlink ref="L1248" r:id="rId1246" tooltip="🔗 Ver Mapa" display="🔗 Ver Mapa"/>
    <hyperlink ref="L1249" r:id="rId1247" tooltip="🔗 Ver Mapa" display="🔗 Ver Mapa"/>
    <hyperlink ref="L1250" r:id="rId1248" tooltip="🔗 Ver Mapa" display="🔗 Ver Mapa"/>
    <hyperlink ref="L1251" r:id="rId1249" tooltip="🔗 Ver Mapa" display="🔗 Ver Mapa"/>
    <hyperlink ref="L1252" r:id="rId1250" tooltip="🔗 Ver Mapa" display="🔗 Ver Mapa"/>
    <hyperlink ref="L1253" r:id="rId1251" tooltip="🔗 Ver Mapa" display="🔗 Ver Mapa"/>
    <hyperlink ref="L1254" r:id="rId1252" tooltip="🔗 Ver Mapa" display="🔗 Ver Mapa"/>
    <hyperlink ref="L1255" r:id="rId1253" tooltip="🔗 Ver Mapa" display="🔗 Ver Mapa"/>
    <hyperlink ref="L1256" r:id="rId1254" tooltip="🔗 Ver Mapa" display="🔗 Ver Mapa"/>
    <hyperlink ref="L1257" r:id="rId1255" tooltip="🔗 Ver Mapa" display="🔗 Ver Mapa"/>
    <hyperlink ref="L1258" r:id="rId1256" tooltip="🔗 Ver Mapa" display="🔗 Ver Mapa"/>
    <hyperlink ref="L1259" r:id="rId1257" tooltip="🔗 Ver Mapa" display="🔗 Ver Mapa"/>
    <hyperlink ref="L1260" r:id="rId1258" tooltip="🔗 Ver Mapa" display="🔗 Ver Mapa"/>
    <hyperlink ref="L1261" r:id="rId1259" tooltip="🔗 Ver Mapa" display="🔗 Ver Mapa"/>
    <hyperlink ref="L1262" r:id="rId1260" tooltip="🔗 Ver Mapa" display="🔗 Ver Mapa"/>
    <hyperlink ref="L1263" r:id="rId1261" tooltip="🔗 Ver Mapa" display="🔗 Ver Mapa"/>
    <hyperlink ref="L1264" r:id="rId1262" tooltip="🔗 Ver Mapa" display="🔗 Ver Mapa"/>
    <hyperlink ref="L1265" r:id="rId1263" tooltip="🔗 Ver Mapa" display="🔗 Ver Mapa"/>
    <hyperlink ref="L1266" r:id="rId1264" tooltip="🔗 Ver Mapa" display="🔗 Ver Mapa"/>
    <hyperlink ref="L1267" r:id="rId1265" tooltip="🔗 Ver Mapa" display="🔗 Ver Mapa"/>
    <hyperlink ref="L1268" r:id="rId1266" tooltip="🔗 Ver Mapa" display="🔗 Ver Mapa"/>
    <hyperlink ref="L1269" r:id="rId1267" tooltip="🔗 Ver Mapa" display="🔗 Ver Mapa"/>
    <hyperlink ref="L1270" r:id="rId1268" tooltip="🔗 Ver Mapa" display="🔗 Ver Mapa"/>
    <hyperlink ref="L1271" r:id="rId1269" tooltip="🔗 Ver Mapa" display="🔗 Ver Mapa"/>
    <hyperlink ref="L1272" r:id="rId1270" tooltip="🔗 Ver Mapa" display="🔗 Ver Mapa"/>
    <hyperlink ref="L1273" r:id="rId1271" tooltip="🔗 Ver Mapa" display="🔗 Ver Mapa"/>
    <hyperlink ref="L1274" r:id="rId1272" tooltip="🔗 Ver Mapa" display="🔗 Ver Mapa"/>
    <hyperlink ref="L1275" r:id="rId1273" tooltip="🔗 Ver Mapa" display="🔗 Ver Mapa"/>
    <hyperlink ref="L1276" r:id="rId1274" tooltip="🔗 Ver Mapa" display="🔗 Ver Mapa"/>
    <hyperlink ref="L1277" r:id="rId1275" tooltip="🔗 Ver Mapa" display="🔗 Ver Mapa"/>
    <hyperlink ref="L1278" r:id="rId1276" tooltip="🔗 Ver Mapa" display="🔗 Ver Mapa"/>
    <hyperlink ref="L1279" r:id="rId1277" tooltip="🔗 Ver Mapa" display="🔗 Ver Mapa"/>
    <hyperlink ref="L1280" r:id="rId1278" tooltip="🔗 Ver Mapa" display="🔗 Ver Mapa"/>
    <hyperlink ref="L1281" r:id="rId1279" tooltip="🔗 Ver Mapa" display="🔗 Ver Mapa"/>
    <hyperlink ref="L1282" r:id="rId1280" tooltip="🔗 Ver Mapa" display="🔗 Ver Mapa"/>
    <hyperlink ref="L1283" r:id="rId1281" tooltip="🔗 Ver Mapa" display="🔗 Ver Mapa"/>
    <hyperlink ref="L1284" r:id="rId1282" tooltip="🔗 Ver Mapa" display="🔗 Ver Mapa"/>
    <hyperlink ref="L1285" r:id="rId1283" tooltip="🔗 Ver Mapa" display="🔗 Ver Mapa"/>
    <hyperlink ref="L1286" r:id="rId1284" tooltip="🔗 Ver Mapa" display="🔗 Ver Mapa"/>
    <hyperlink ref="L1287" r:id="rId1285" tooltip="🔗 Ver Mapa" display="🔗 Ver Mapa"/>
    <hyperlink ref="L1288" r:id="rId1286" tooltip="🔗 Ver Mapa" display="🔗 Ver Mapa"/>
    <hyperlink ref="L1289" r:id="rId1287" tooltip="🔗 Ver Mapa" display="🔗 Ver Mapa"/>
    <hyperlink ref="L1290" r:id="rId1288" tooltip="🔗 Ver Mapa" display="🔗 Ver Mapa"/>
    <hyperlink ref="L1291" r:id="rId1289" tooltip="🔗 Ver Mapa" display="🔗 Ver Mapa"/>
    <hyperlink ref="L1292" r:id="rId1290" tooltip="🔗 Ver Mapa" display="🔗 Ver Mapa"/>
    <hyperlink ref="L1293" r:id="rId1291" tooltip="🔗 Ver Mapa" display="🔗 Ver Mapa"/>
    <hyperlink ref="L1294" r:id="rId1292" tooltip="🔗 Ver Mapa" display="🔗 Ver Mapa"/>
    <hyperlink ref="L1295" r:id="rId1293" tooltip="🔗 Ver Mapa" display="🔗 Ver Mapa"/>
    <hyperlink ref="L1296" r:id="rId1294" tooltip="🔗 Ver Mapa" display="🔗 Ver Mapa"/>
    <hyperlink ref="L1297" r:id="rId1295" tooltip="🔗 Ver Mapa" display="🔗 Ver Mapa"/>
    <hyperlink ref="L1298" r:id="rId1296" tooltip="🔗 Ver Mapa" display="🔗 Ver Mapa"/>
    <hyperlink ref="L1299" r:id="rId1297" tooltip="🔗 Ver Mapa" display="🔗 Ver Mapa"/>
    <hyperlink ref="L1300" r:id="rId1298" tooltip="🔗 Ver Mapa" display="🔗 Ver Mapa"/>
    <hyperlink ref="L1301" r:id="rId1299" tooltip="🔗 Ver Mapa" display="🔗 Ver Mapa"/>
    <hyperlink ref="L1302" r:id="rId1300" tooltip="🔗 Ver Mapa" display="🔗 Ver Mapa"/>
    <hyperlink ref="L1303" r:id="rId1301" tooltip="🔗 Ver Mapa" display="🔗 Ver Mapa"/>
    <hyperlink ref="L1304" r:id="rId1302" tooltip="🔗 Ver Mapa" display="🔗 Ver Mapa"/>
    <hyperlink ref="L1305" r:id="rId1303" tooltip="🔗 Ver Mapa" display="🔗 Ver Mapa"/>
    <hyperlink ref="L1306" r:id="rId1304" tooltip="🔗 Ver Mapa" display="🔗 Ver Mapa"/>
    <hyperlink ref="L1307" r:id="rId1305" tooltip="🔗 Ver Mapa" display="🔗 Ver Mapa"/>
    <hyperlink ref="L1308" r:id="rId1306" tooltip="🔗 Ver Mapa" display="🔗 Ver Mapa"/>
    <hyperlink ref="L1309" r:id="rId1307" tooltip="🔗 Ver Mapa" display="🔗 Ver Mapa"/>
    <hyperlink ref="L1310" r:id="rId1308" tooltip="🔗 Ver Mapa" display="🔗 Ver Mapa"/>
    <hyperlink ref="L1311" r:id="rId1309" tooltip="🔗 Ver Mapa" display="🔗 Ver Mapa"/>
    <hyperlink ref="L1312" r:id="rId1310" tooltip="🔗 Ver Mapa" display="🔗 Ver Mapa"/>
    <hyperlink ref="L1313" r:id="rId1311" tooltip="🔗 Ver Mapa" display="🔗 Ver Mapa"/>
    <hyperlink ref="L1314" r:id="rId1312" tooltip="🔗 Ver Mapa" display="🔗 Ver Mapa"/>
    <hyperlink ref="L1315" r:id="rId1313" tooltip="🔗 Ver Mapa" display="🔗 Ver Mapa"/>
    <hyperlink ref="L1316" r:id="rId1314" tooltip="🔗 Ver Mapa" display="🔗 Ver Mapa"/>
    <hyperlink ref="L1317" r:id="rId1315" tooltip="🔗 Ver Mapa" display="🔗 Ver Mapa"/>
    <hyperlink ref="L1318" r:id="rId1316" tooltip="🔗 Ver Mapa" display="🔗 Ver Mapa"/>
    <hyperlink ref="L1319" r:id="rId1317" tooltip="🔗 Ver Mapa" display="🔗 Ver Mapa"/>
    <hyperlink ref="L1320" r:id="rId1318" tooltip="🔗 Ver Mapa" display="🔗 Ver Mapa"/>
    <hyperlink ref="L1321" r:id="rId1319" tooltip="🔗 Ver Mapa" display="🔗 Ver Mapa"/>
    <hyperlink ref="L1322" r:id="rId1320" tooltip="🔗 Ver Mapa" display="🔗 Ver Mapa"/>
    <hyperlink ref="L1323" r:id="rId1321" tooltip="🔗 Ver Mapa" display="🔗 Ver Mapa"/>
    <hyperlink ref="L1324" r:id="rId1322" tooltip="🔗 Ver Mapa" display="🔗 Ver Mapa"/>
    <hyperlink ref="L1325" r:id="rId1323" tooltip="🔗 Ver Mapa" display="🔗 Ver Mapa"/>
    <hyperlink ref="L1326" r:id="rId1324" tooltip="🔗 Ver Mapa" display="🔗 Ver Mapa"/>
    <hyperlink ref="L1327" r:id="rId1325" tooltip="🔗 Ver Mapa" display="🔗 Ver Mapa"/>
    <hyperlink ref="L1328" r:id="rId1326" tooltip="🔗 Ver Mapa" display="🔗 Ver Mapa"/>
    <hyperlink ref="L1329" r:id="rId1327" tooltip="🔗 Ver Mapa" display="🔗 Ver Mapa"/>
    <hyperlink ref="L1330" r:id="rId1328" tooltip="🔗 Ver Mapa" display="🔗 Ver Mapa"/>
    <hyperlink ref="L1331" r:id="rId1329" tooltip="🔗 Ver Mapa" display="🔗 Ver Mapa"/>
    <hyperlink ref="L1332" r:id="rId1330" tooltip="🔗 Ver Mapa" display="🔗 Ver Mapa"/>
    <hyperlink ref="L1333" r:id="rId1331" tooltip="🔗 Ver Mapa" display="🔗 Ver Mapa"/>
    <hyperlink ref="L1334" r:id="rId1332" tooltip="🔗 Ver Mapa" display="🔗 Ver Mapa"/>
    <hyperlink ref="L1335" r:id="rId1333" tooltip="🔗 Ver Mapa" display="🔗 Ver Mapa"/>
    <hyperlink ref="L1336" r:id="rId1334" tooltip="🔗 Ver Mapa" display="🔗 Ver Mapa"/>
    <hyperlink ref="L1337" r:id="rId1335" tooltip="🔗 Ver Mapa" display="🔗 Ver Mapa"/>
    <hyperlink ref="L1338" r:id="rId1336" tooltip="🔗 Ver Mapa" display="🔗 Ver Mapa"/>
    <hyperlink ref="L1339" r:id="rId1337" tooltip="🔗 Ver Mapa" display="🔗 Ver Mapa"/>
    <hyperlink ref="L1340" r:id="rId1338" tooltip="🔗 Ver Mapa" display="🔗 Ver Mapa"/>
    <hyperlink ref="L1341" r:id="rId1339" tooltip="🔗 Ver Mapa" display="🔗 Ver Mapa"/>
    <hyperlink ref="L1342" r:id="rId1340" tooltip="🔗 Ver Mapa" display="🔗 Ver Mapa"/>
    <hyperlink ref="L1343" r:id="rId1341" tooltip="🔗 Ver Mapa" display="🔗 Ver Mapa"/>
    <hyperlink ref="L1344" r:id="rId1342" tooltip="🔗 Ver Mapa" display="🔗 Ver Mapa"/>
    <hyperlink ref="L1345" r:id="rId1343" tooltip="🔗 Ver Mapa" display="🔗 Ver Mapa"/>
    <hyperlink ref="L1346" r:id="rId1344" tooltip="🔗 Ver Mapa" display="🔗 Ver Mapa"/>
    <hyperlink ref="L1347" r:id="rId1345" tooltip="🔗 Ver Mapa" display="🔗 Ver Mapa"/>
    <hyperlink ref="L1348" r:id="rId1346" tooltip="🔗 Ver Mapa" display="🔗 Ver Mapa"/>
    <hyperlink ref="L1349" r:id="rId1347" tooltip="🔗 Ver Mapa" display="🔗 Ver Mapa"/>
    <hyperlink ref="L1350" r:id="rId1348" tooltip="🔗 Ver Mapa" display="🔗 Ver Mapa"/>
    <hyperlink ref="L1351" r:id="rId1349" tooltip="🔗 Ver Mapa" display="🔗 Ver Mapa"/>
    <hyperlink ref="L1352" r:id="rId1350" tooltip="🔗 Ver Mapa" display="🔗 Ver Mapa"/>
    <hyperlink ref="L1353" r:id="rId1351" tooltip="🔗 Ver Mapa" display="🔗 Ver Mapa"/>
    <hyperlink ref="L1354" r:id="rId1352" tooltip="🔗 Ver Mapa" display="🔗 Ver Mapa"/>
    <hyperlink ref="L1355" r:id="rId1353" tooltip="🔗 Ver Mapa" display="🔗 Ver Mapa"/>
    <hyperlink ref="L1356" r:id="rId1354" tooltip="🔗 Ver Mapa" display="🔗 Ver Mapa"/>
    <hyperlink ref="L1357" r:id="rId1355" tooltip="🔗 Ver Mapa" display="🔗 Ver Mapa"/>
    <hyperlink ref="L1358" r:id="rId1356" tooltip="🔗 Ver Mapa" display="🔗 Ver Mapa"/>
    <hyperlink ref="L1359" r:id="rId1357" tooltip="🔗 Ver Mapa" display="🔗 Ver Mapa"/>
    <hyperlink ref="L1360" r:id="rId1358" tooltip="🔗 Ver Mapa" display="🔗 Ver Mapa"/>
    <hyperlink ref="L1361" r:id="rId1359" tooltip="🔗 Ver Mapa" display="🔗 Ver Mapa"/>
    <hyperlink ref="L1362" r:id="rId1360" tooltip="🔗 Ver Mapa" display="🔗 Ver Mapa"/>
    <hyperlink ref="L1363" r:id="rId1361" tooltip="🔗 Ver Mapa" display="🔗 Ver Mapa"/>
    <hyperlink ref="L1364" r:id="rId1362" tooltip="🔗 Ver Mapa" display="🔗 Ver Mapa"/>
    <hyperlink ref="L1365" r:id="rId1363" tooltip="🔗 Ver Mapa" display="🔗 Ver Mapa"/>
    <hyperlink ref="L1366" r:id="rId1364" tooltip="🔗 Ver Mapa" display="🔗 Ver Mapa"/>
    <hyperlink ref="L1367" r:id="rId1365" tooltip="🔗 Ver Mapa" display="🔗 Ver Mapa"/>
    <hyperlink ref="L1368" r:id="rId1366" tooltip="🔗 Ver Mapa" display="🔗 Ver Mapa"/>
    <hyperlink ref="L1369" r:id="rId1367" tooltip="🔗 Ver Mapa" display="🔗 Ver Mapa"/>
    <hyperlink ref="L1370" r:id="rId1368" tooltip="🔗 Ver Mapa" display="🔗 Ver Mapa"/>
    <hyperlink ref="L1371" r:id="rId1369" tooltip="🔗 Ver Mapa" display="🔗 Ver Mapa"/>
    <hyperlink ref="L1372" r:id="rId1370" tooltip="🔗 Ver Mapa" display="🔗 Ver Mapa"/>
    <hyperlink ref="L1373" r:id="rId1371" tooltip="🔗 Ver Mapa" display="🔗 Ver Mapa"/>
    <hyperlink ref="L1374" r:id="rId1372" tooltip="🔗 Ver Mapa" display="🔗 Ver Mapa"/>
    <hyperlink ref="L1375" r:id="rId1373" tooltip="🔗 Ver Mapa" display="🔗 Ver Mapa"/>
    <hyperlink ref="L1376" r:id="rId1374" tooltip="🔗 Ver Mapa" display="🔗 Ver Mapa"/>
    <hyperlink ref="L1377" r:id="rId1375" tooltip="🔗 Ver Mapa" display="🔗 Ver Mapa"/>
    <hyperlink ref="L1378" r:id="rId1376" tooltip="🔗 Ver Mapa" display="🔗 Ver Mapa"/>
    <hyperlink ref="L1379" r:id="rId1377" tooltip="🔗 Ver Mapa" display="🔗 Ver Mapa"/>
    <hyperlink ref="L1380" r:id="rId1378" tooltip="🔗 Ver Mapa" display="🔗 Ver Mapa"/>
    <hyperlink ref="L1381" r:id="rId1379" tooltip="🔗 Ver Mapa" display="🔗 Ver Mapa"/>
    <hyperlink ref="L1382" r:id="rId1380" tooltip="🔗 Ver Mapa" display="🔗 Ver Mapa"/>
    <hyperlink ref="L1383" r:id="rId1381" tooltip="🔗 Ver Mapa" display="🔗 Ver Mapa"/>
    <hyperlink ref="L1384" r:id="rId1382" tooltip="🔗 Ver Mapa" display="🔗 Ver Mapa"/>
    <hyperlink ref="L1385" r:id="rId1383" tooltip="🔗 Ver Mapa" display="🔗 Ver Mapa"/>
    <hyperlink ref="L1386" r:id="rId1384" tooltip="🔗 Ver Mapa" display="🔗 Ver Mapa"/>
    <hyperlink ref="L1387" r:id="rId1385" tooltip="🔗 Ver Mapa" display="🔗 Ver Mapa"/>
    <hyperlink ref="L1388" r:id="rId1386" tooltip="🔗 Ver Mapa" display="🔗 Ver Mapa"/>
    <hyperlink ref="L1389" r:id="rId1387" tooltip="🔗 Ver Mapa" display="🔗 Ver Mapa"/>
    <hyperlink ref="L1390" r:id="rId1388" tooltip="🔗 Ver Mapa" display="🔗 Ver Mapa"/>
    <hyperlink ref="L1391" r:id="rId1389" tooltip="🔗 Ver Mapa" display="🔗 Ver Mapa"/>
    <hyperlink ref="L1392" r:id="rId1390" tooltip="🔗 Ver Mapa" display="🔗 Ver Mapa"/>
    <hyperlink ref="L1393" r:id="rId1391" tooltip="🔗 Ver Mapa" display="🔗 Ver Mapa"/>
    <hyperlink ref="L1394" r:id="rId1392" tooltip="🔗 Ver Mapa" display="🔗 Ver Mapa"/>
    <hyperlink ref="L1395" r:id="rId1393" tooltip="🔗 Ver Mapa" display="🔗 Ver Mapa"/>
    <hyperlink ref="L1396" r:id="rId1394" tooltip="🔗 Ver Mapa" display="🔗 Ver Mapa"/>
    <hyperlink ref="L1397" r:id="rId1395" tooltip="🔗 Ver Mapa" display="🔗 Ver Mapa"/>
    <hyperlink ref="L1398" r:id="rId1396" tooltip="🔗 Ver Mapa" display="🔗 Ver Mapa"/>
    <hyperlink ref="L1399" r:id="rId1397" tooltip="🔗 Ver Mapa" display="🔗 Ver Mapa"/>
    <hyperlink ref="L1400" r:id="rId1398" tooltip="🔗 Ver Mapa" display="🔗 Ver Mapa"/>
    <hyperlink ref="L1401" r:id="rId1399" tooltip="🔗 Ver Mapa" display="🔗 Ver Mapa"/>
    <hyperlink ref="L1402" r:id="rId1400" tooltip="🔗 Ver Mapa" display="🔗 Ver Mapa"/>
    <hyperlink ref="L1403" r:id="rId1401" tooltip="🔗 Ver Mapa" display="🔗 Ver Mapa"/>
    <hyperlink ref="L1404" r:id="rId1402" tooltip="🔗 Ver Mapa" display="🔗 Ver Mapa"/>
    <hyperlink ref="L1405" r:id="rId1403" tooltip="🔗 Ver Mapa" display="🔗 Ver Mapa"/>
    <hyperlink ref="L1406" r:id="rId1404" tooltip="🔗 Ver Mapa" display="🔗 Ver Mapa"/>
    <hyperlink ref="L1407" r:id="rId1405" tooltip="🔗 Ver Mapa" display="🔗 Ver Mapa"/>
    <hyperlink ref="L1408" r:id="rId1406" tooltip="🔗 Ver Mapa" display="🔗 Ver Mapa"/>
    <hyperlink ref="L1409" r:id="rId1407" tooltip="🔗 Ver Mapa" display="🔗 Ver Mapa"/>
    <hyperlink ref="L1410" r:id="rId1408" tooltip="🔗 Ver Mapa" display="🔗 Ver Mapa"/>
    <hyperlink ref="L1411" r:id="rId1409" tooltip="🔗 Ver Mapa" display="🔗 Ver Mapa"/>
    <hyperlink ref="L1412" r:id="rId1410" tooltip="🔗 Ver Mapa" display="🔗 Ver Mapa"/>
    <hyperlink ref="L1413" r:id="rId1411" tooltip="🔗 Ver Mapa" display="🔗 Ver Mapa"/>
    <hyperlink ref="L1414" r:id="rId1412" tooltip="🔗 Ver Mapa" display="🔗 Ver Mapa"/>
    <hyperlink ref="L1415" r:id="rId1413" tooltip="🔗 Ver Mapa" display="🔗 Ver Mapa"/>
    <hyperlink ref="L1416" r:id="rId1414" tooltip="🔗 Ver Mapa" display="🔗 Ver Mapa"/>
    <hyperlink ref="L1417" r:id="rId1415" tooltip="🔗 Ver Mapa" display="🔗 Ver Mapa"/>
    <hyperlink ref="L1418" r:id="rId1416" tooltip="🔗 Ver Mapa" display="🔗 Ver Mapa"/>
    <hyperlink ref="L1419" r:id="rId1417" tooltip="🔗 Ver Mapa" display="🔗 Ver Mapa"/>
    <hyperlink ref="L1420" r:id="rId1418" tooltip="🔗 Ver Mapa" display="🔗 Ver Mapa"/>
    <hyperlink ref="L1421" r:id="rId1419" tooltip="🔗 Ver Mapa" display="🔗 Ver Mapa"/>
    <hyperlink ref="L1422" r:id="rId1420" tooltip="🔗 Ver Mapa" display="🔗 Ver Mapa"/>
    <hyperlink ref="L1423" r:id="rId1421" tooltip="🔗 Ver Mapa" display="🔗 Ver Mapa"/>
    <hyperlink ref="L1424" r:id="rId1422" tooltip="🔗 Ver Mapa" display="🔗 Ver Mapa"/>
    <hyperlink ref="L1425" r:id="rId1423" tooltip="🔗 Ver Mapa" display="🔗 Ver Mapa"/>
    <hyperlink ref="L1426" r:id="rId1424" tooltip="🔗 Ver Mapa" display="🔗 Ver Mapa"/>
    <hyperlink ref="L1427" r:id="rId1425" tooltip="🔗 Ver Mapa" display="🔗 Ver Mapa"/>
    <hyperlink ref="L1428" r:id="rId1426" tooltip="🔗 Ver Mapa" display="🔗 Ver Mapa"/>
    <hyperlink ref="L1429" r:id="rId1427" tooltip="🔗 Ver Mapa" display="🔗 Ver Mapa"/>
    <hyperlink ref="L1430" r:id="rId1428" tooltip="🔗 Ver Mapa" display="🔗 Ver Mapa"/>
    <hyperlink ref="L1431" r:id="rId1429" tooltip="🔗 Ver Mapa" display="🔗 Ver Mapa"/>
    <hyperlink ref="L1432" r:id="rId1430" tooltip="🔗 Ver Mapa" display="🔗 Ver Mapa"/>
    <hyperlink ref="L1433" r:id="rId1431" tooltip="🔗 Ver Mapa" display="🔗 Ver Mapa"/>
    <hyperlink ref="L1434" r:id="rId1432" tooltip="🔗 Ver Mapa" display="🔗 Ver Mapa"/>
    <hyperlink ref="L1435" r:id="rId1433" tooltip="🔗 Ver Mapa" display="🔗 Ver Mapa"/>
    <hyperlink ref="L1436" r:id="rId1434" tooltip="🔗 Ver Mapa" display="🔗 Ver Mapa"/>
    <hyperlink ref="L1437" r:id="rId1435" tooltip="🔗 Ver Mapa" display="🔗 Ver Mapa"/>
    <hyperlink ref="L1438" r:id="rId1436" tooltip="🔗 Ver Mapa" display="🔗 Ver Mapa"/>
    <hyperlink ref="L1439" r:id="rId1437" tooltip="🔗 Ver Mapa" display="🔗 Ver Mapa"/>
    <hyperlink ref="L1440" r:id="rId1438" tooltip="🔗 Ver Mapa" display="🔗 Ver Mapa"/>
    <hyperlink ref="L1441" r:id="rId1439" tooltip="🔗 Ver Mapa" display="🔗 Ver Mapa"/>
    <hyperlink ref="L1442" r:id="rId1440" tooltip="🔗 Ver Mapa" display="🔗 Ver Mapa"/>
    <hyperlink ref="L1443" r:id="rId1441" tooltip="🔗 Ver Mapa" display="🔗 Ver Mapa"/>
    <hyperlink ref="L1444" r:id="rId1442" tooltip="🔗 Ver Mapa" display="🔗 Ver Mapa"/>
    <hyperlink ref="L1445" r:id="rId1443" tooltip="🔗 Ver Mapa" display="🔗 Ver Mapa"/>
    <hyperlink ref="L1446" r:id="rId1444" tooltip="🔗 Ver Mapa" display="🔗 Ver Mapa"/>
    <hyperlink ref="L1447" r:id="rId1445" tooltip="🔗 Ver Mapa" display="🔗 Ver Mapa"/>
    <hyperlink ref="L1448" r:id="rId1446" tooltip="🔗 Ver Mapa" display="🔗 Ver Mapa"/>
    <hyperlink ref="L1449" r:id="rId1447" tooltip="🔗 Ver Mapa" display="🔗 Ver Mapa"/>
    <hyperlink ref="L1450" r:id="rId1448" tooltip="🔗 Ver Mapa" display="🔗 Ver Mapa"/>
    <hyperlink ref="L1451" r:id="rId1449" tooltip="🔗 Ver Mapa" display="🔗 Ver Mapa"/>
    <hyperlink ref="L1452" r:id="rId1450" tooltip="🔗 Ver Mapa" display="🔗 Ver Mapa"/>
    <hyperlink ref="L1453" r:id="rId1451" tooltip="🔗 Ver Mapa" display="🔗 Ver Mapa"/>
    <hyperlink ref="L1454" r:id="rId1452" tooltip="🔗 Ver Mapa" display="🔗 Ver Mapa"/>
    <hyperlink ref="L1455" r:id="rId1453" tooltip="🔗 Ver Mapa" display="🔗 Ver Mapa"/>
    <hyperlink ref="L1456" r:id="rId1454" tooltip="🔗 Ver Mapa" display="🔗 Ver Mapa"/>
    <hyperlink ref="L1457" r:id="rId1455" tooltip="🔗 Ver Mapa" display="🔗 Ver Mapa"/>
    <hyperlink ref="L1458" r:id="rId1456" tooltip="🔗 Ver Mapa" display="🔗 Ver Mapa"/>
    <hyperlink ref="L1459" r:id="rId1457" tooltip="🔗 Ver Mapa" display="🔗 Ver Mapa"/>
    <hyperlink ref="L1460" r:id="rId1458" tooltip="🔗 Ver Mapa" display="🔗 Ver Mapa"/>
    <hyperlink ref="L1461" r:id="rId1459" tooltip="🔗 Ver Mapa" display="🔗 Ver Mapa"/>
    <hyperlink ref="L1462" r:id="rId1460" tooltip="🔗 Ver Mapa" display="🔗 Ver Mapa"/>
    <hyperlink ref="L1463" r:id="rId1461" tooltip="🔗 Ver Mapa" display="🔗 Ver Mapa"/>
    <hyperlink ref="L1464" r:id="rId1462" tooltip="🔗 Ver Mapa" display="🔗 Ver Mapa"/>
    <hyperlink ref="L1465" r:id="rId1463" tooltip="🔗 Ver Mapa" display="🔗 Ver Mapa"/>
    <hyperlink ref="L1466" r:id="rId1464" tooltip="🔗 Ver Mapa" display="🔗 Ver Mapa"/>
    <hyperlink ref="L1467" r:id="rId1465" tooltip="🔗 Ver Mapa" display="🔗 Ver Mapa"/>
    <hyperlink ref="L1468" r:id="rId1466" tooltip="🔗 Ver Mapa" display="🔗 Ver Mapa"/>
    <hyperlink ref="L1469" r:id="rId1467" tooltip="🔗 Ver Mapa" display="🔗 Ver Mapa"/>
    <hyperlink ref="L1470" r:id="rId1468" tooltip="🔗 Ver Mapa" display="🔗 Ver Mapa"/>
    <hyperlink ref="L1471" r:id="rId1469" tooltip="🔗 Ver Mapa" display="🔗 Ver Mapa"/>
    <hyperlink ref="L1472" r:id="rId1470" tooltip="🔗 Ver Mapa" display="🔗 Ver Mapa"/>
    <hyperlink ref="L1473" r:id="rId1471" tooltip="🔗 Ver Mapa" display="🔗 Ver Mapa"/>
    <hyperlink ref="L1474" r:id="rId1472" tooltip="🔗 Ver Mapa" display="🔗 Ver Mapa"/>
    <hyperlink ref="L1475" r:id="rId1473" tooltip="🔗 Ver Mapa" display="🔗 Ver Mapa"/>
    <hyperlink ref="L1476" r:id="rId1474" tooltip="🔗 Ver Mapa" display="🔗 Ver Mapa"/>
    <hyperlink ref="L1477" r:id="rId1475" tooltip="🔗 Ver Mapa" display="🔗 Ver Mapa"/>
    <hyperlink ref="L1478" r:id="rId1476" tooltip="🔗 Ver Mapa" display="🔗 Ver Mapa"/>
    <hyperlink ref="L1479" r:id="rId1477" tooltip="🔗 Ver Mapa" display="🔗 Ver Mapa"/>
    <hyperlink ref="L1480" r:id="rId1478" tooltip="🔗 Ver Mapa" display="🔗 Ver Mapa"/>
    <hyperlink ref="L1481" r:id="rId1479" tooltip="🔗 Ver Mapa" display="🔗 Ver Mapa"/>
    <hyperlink ref="L1482" r:id="rId1480" tooltip="🔗 Ver Mapa" display="🔗 Ver Mapa"/>
    <hyperlink ref="L1483" r:id="rId1481" tooltip="🔗 Ver Mapa" display="🔗 Ver Mapa"/>
    <hyperlink ref="L1484" r:id="rId1482" tooltip="🔗 Ver Mapa" display="🔗 Ver Mapa"/>
    <hyperlink ref="L1485" r:id="rId1483" tooltip="🔗 Ver Mapa" display="🔗 Ver Mapa"/>
    <hyperlink ref="L1486" r:id="rId1484" tooltip="🔗 Ver Mapa" display="🔗 Ver Mapa"/>
    <hyperlink ref="L1487" r:id="rId1485" tooltip="🔗 Ver Mapa" display="🔗 Ver Mapa"/>
    <hyperlink ref="L1488" r:id="rId1486" tooltip="🔗 Ver Mapa" display="🔗 Ver Mapa"/>
    <hyperlink ref="L1489" r:id="rId1487" tooltip="🔗 Ver Mapa" display="🔗 Ver Mapa"/>
    <hyperlink ref="L1490" r:id="rId1488" tooltip="🔗 Ver Mapa" display="🔗 Ver Mapa"/>
    <hyperlink ref="L1491" r:id="rId1489" tooltip="🔗 Ver Mapa" display="🔗 Ver Mapa"/>
    <hyperlink ref="L1492" r:id="rId1490" tooltip="🔗 Ver Mapa" display="🔗 Ver Mapa"/>
    <hyperlink ref="L1493" r:id="rId1491" tooltip="🔗 Ver Mapa" display="🔗 Ver Mapa"/>
    <hyperlink ref="L1494" r:id="rId1492" tooltip="🔗 Ver Mapa" display="🔗 Ver Mapa"/>
    <hyperlink ref="L1495" r:id="rId1493" tooltip="🔗 Ver Mapa" display="🔗 Ver Mapa"/>
    <hyperlink ref="L1496" r:id="rId1494" tooltip="🔗 Ver Mapa" display="🔗 Ver Mapa"/>
    <hyperlink ref="L1497" r:id="rId1495" tooltip="🔗 Ver Mapa" display="🔗 Ver Mapa"/>
    <hyperlink ref="L1498" r:id="rId1496" tooltip="🔗 Ver Mapa" display="🔗 Ver Mapa"/>
    <hyperlink ref="L1499" r:id="rId1497" tooltip="🔗 Ver Mapa" display="🔗 Ver Mapa"/>
    <hyperlink ref="L1500" r:id="rId1498" tooltip="🔗 Ver Mapa" display="🔗 Ver Mapa"/>
    <hyperlink ref="L1501" r:id="rId1499" tooltip="🔗 Ver Mapa" display="🔗 Ver Mapa"/>
    <hyperlink ref="L1502" r:id="rId1500" tooltip="🔗 Ver Mapa" display="🔗 Ver Mapa"/>
    <hyperlink ref="L1503" r:id="rId1501" tooltip="🔗 Ver Mapa" display="🔗 Ver Mapa"/>
    <hyperlink ref="L1504" r:id="rId1502" tooltip="🔗 Ver Mapa" display="🔗 Ver Mapa"/>
    <hyperlink ref="L1505" r:id="rId1503" tooltip="🔗 Ver Mapa" display="🔗 Ver Mapa"/>
    <hyperlink ref="L1506" r:id="rId1504" tooltip="🔗 Ver Mapa" display="🔗 Ver Mapa"/>
    <hyperlink ref="L1507" r:id="rId1505" tooltip="🔗 Ver Mapa" display="🔗 Ver Mapa"/>
    <hyperlink ref="L1508" r:id="rId1506" tooltip="🔗 Ver Mapa" display="🔗 Ver Mapa"/>
    <hyperlink ref="L1509" r:id="rId1507" tooltip="🔗 Ver Mapa" display="🔗 Ver Mapa"/>
    <hyperlink ref="L1510" r:id="rId1508" tooltip="🔗 Ver Mapa" display="🔗 Ver Mapa"/>
    <hyperlink ref="L1511" r:id="rId1509" tooltip="🔗 Ver Mapa" display="🔗 Ver Mapa"/>
    <hyperlink ref="L1512" r:id="rId1510" tooltip="🔗 Ver Mapa" display="🔗 Ver Mapa"/>
    <hyperlink ref="L1513" r:id="rId1511" tooltip="🔗 Ver Mapa" display="🔗 Ver Mapa"/>
    <hyperlink ref="L1514" r:id="rId1512" tooltip="🔗 Ver Mapa" display="🔗 Ver Mapa"/>
    <hyperlink ref="L1515" r:id="rId1513" tooltip="🔗 Ver Mapa" display="🔗 Ver Mapa"/>
    <hyperlink ref="L1516" r:id="rId1514" tooltip="🔗 Ver Mapa" display="🔗 Ver Mapa"/>
    <hyperlink ref="L1517" r:id="rId1515" tooltip="🔗 Ver Mapa" display="🔗 Ver Mapa"/>
    <hyperlink ref="L1518" r:id="rId1516" tooltip="🔗 Ver Mapa" display="🔗 Ver Mapa"/>
    <hyperlink ref="L1519" r:id="rId1517" tooltip="🔗 Ver Mapa" display="🔗 Ver Mapa"/>
    <hyperlink ref="L1520" r:id="rId1518" tooltip="🔗 Ver Mapa" display="🔗 Ver Mapa"/>
    <hyperlink ref="L1521" r:id="rId1519" tooltip="🔗 Ver Mapa" display="🔗 Ver Mapa"/>
    <hyperlink ref="L1522" r:id="rId1520" tooltip="🔗 Ver Mapa" display="🔗 Ver Mapa"/>
    <hyperlink ref="L1523" r:id="rId1521" tooltip="🔗 Ver Mapa" display="🔗 Ver Mapa"/>
    <hyperlink ref="L1524" r:id="rId1522" tooltip="🔗 Ver Mapa" display="🔗 Ver Mapa"/>
    <hyperlink ref="L1525" r:id="rId1523" tooltip="🔗 Ver Mapa" display="🔗 Ver Mapa"/>
    <hyperlink ref="L1526" r:id="rId1524" tooltip="🔗 Ver Mapa" display="🔗 Ver Mapa"/>
    <hyperlink ref="L1527" r:id="rId1525" tooltip="🔗 Ver Mapa" display="🔗 Ver Mapa"/>
    <hyperlink ref="L1528" r:id="rId1526" tooltip="🔗 Ver Mapa" display="🔗 Ver Mapa"/>
    <hyperlink ref="L1529" r:id="rId1527" tooltip="🔗 Ver Mapa" display="🔗 Ver Mapa"/>
    <hyperlink ref="L1530" r:id="rId1528" tooltip="🔗 Ver Mapa" display="🔗 Ver Mapa"/>
    <hyperlink ref="L1531" r:id="rId1529" tooltip="🔗 Ver Mapa" display="🔗 Ver Mapa"/>
    <hyperlink ref="L1532" r:id="rId1530" tooltip="🔗 Ver Mapa" display="🔗 Ver Mapa"/>
    <hyperlink ref="L1533" r:id="rId1531" tooltip="🔗 Ver Mapa" display="🔗 Ver Mapa"/>
    <hyperlink ref="L1534" r:id="rId1532" tooltip="🔗 Ver Mapa" display="🔗 Ver Mapa"/>
    <hyperlink ref="L1535" r:id="rId1533" tooltip="🔗 Ver Mapa" display="🔗 Ver Mapa"/>
    <hyperlink ref="L1536" r:id="rId1534" tooltip="🔗 Ver Mapa" display="🔗 Ver Mapa"/>
    <hyperlink ref="L1537" r:id="rId1535" tooltip="🔗 Ver Mapa" display="🔗 Ver Mapa"/>
    <hyperlink ref="L1538" r:id="rId1536" tooltip="🔗 Ver Mapa" display="🔗 Ver Mapa"/>
    <hyperlink ref="L1539" r:id="rId1537" tooltip="🔗 Ver Mapa" display="🔗 Ver Mapa"/>
    <hyperlink ref="L1540" r:id="rId1538" tooltip="🔗 Ver Mapa" display="🔗 Ver Mapa"/>
    <hyperlink ref="L1541" r:id="rId1539" tooltip="🔗 Ver Mapa" display="🔗 Ver Mapa"/>
    <hyperlink ref="L1542" r:id="rId1540" tooltip="🔗 Ver Mapa" display="🔗 Ver Mapa"/>
    <hyperlink ref="L1543" r:id="rId1541" tooltip="🔗 Ver Mapa" display="🔗 Ver Mapa"/>
    <hyperlink ref="L1544" r:id="rId1542" tooltip="🔗 Ver Mapa" display="🔗 Ver Mapa"/>
    <hyperlink ref="L1545" r:id="rId1543" tooltip="🔗 Ver Mapa" display="🔗 Ver Mapa"/>
    <hyperlink ref="L1546" r:id="rId1544" tooltip="🔗 Ver Mapa" display="🔗 Ver Mapa"/>
    <hyperlink ref="L1547" r:id="rId1545" tooltip="🔗 Ver Mapa" display="🔗 Ver Mapa"/>
    <hyperlink ref="L1548" r:id="rId1546" tooltip="🔗 Ver Mapa" display="🔗 Ver Mapa"/>
    <hyperlink ref="L1549" r:id="rId1547" tooltip="🔗 Ver Mapa" display="🔗 Ver Mapa"/>
    <hyperlink ref="L1550" r:id="rId1548" tooltip="🔗 Ver Mapa" display="🔗 Ver Mapa"/>
    <hyperlink ref="L1551" r:id="rId1549" tooltip="🔗 Ver Mapa" display="🔗 Ver Mapa"/>
    <hyperlink ref="L1552" r:id="rId1550" tooltip="🔗 Ver Mapa" display="🔗 Ver Mapa"/>
    <hyperlink ref="L1553" r:id="rId1551" tooltip="🔗 Ver Mapa" display="🔗 Ver Mapa"/>
    <hyperlink ref="L1554" r:id="rId1552" tooltip="🔗 Ver Mapa" display="🔗 Ver Mapa"/>
    <hyperlink ref="L1555" r:id="rId1553" tooltip="🔗 Ver Mapa" display="🔗 Ver Mapa"/>
    <hyperlink ref="L1556" r:id="rId1554" tooltip="🔗 Ver Mapa" display="🔗 Ver Mapa"/>
    <hyperlink ref="L1557" r:id="rId1555" tooltip="🔗 Ver Mapa" display="🔗 Ver Mapa"/>
    <hyperlink ref="L1558" r:id="rId1556" tooltip="🔗 Ver Mapa" display="🔗 Ver Mapa"/>
    <hyperlink ref="L1559" r:id="rId1557" tooltip="🔗 Ver Mapa" display="🔗 Ver Mapa"/>
    <hyperlink ref="L1560" r:id="rId1558" tooltip="🔗 Ver Mapa" display="🔗 Ver Mapa"/>
    <hyperlink ref="L1561" r:id="rId1559" tooltip="🔗 Ver Mapa" display="🔗 Ver Mapa"/>
    <hyperlink ref="L1562" r:id="rId1560" tooltip="🔗 Ver Mapa" display="🔗 Ver Mapa"/>
    <hyperlink ref="L1563" r:id="rId1561" tooltip="🔗 Ver Mapa" display="🔗 Ver Mapa"/>
    <hyperlink ref="L1564" r:id="rId1562" tooltip="🔗 Ver Mapa" display="🔗 Ver Mapa"/>
    <hyperlink ref="L1565" r:id="rId1563" tooltip="🔗 Ver Mapa" display="🔗 Ver Mapa"/>
    <hyperlink ref="L1566" r:id="rId1564" tooltip="🔗 Ver Mapa" display="🔗 Ver Mapa"/>
    <hyperlink ref="L1567" r:id="rId1565" tooltip="🔗 Ver Mapa" display="🔗 Ver Mapa"/>
    <hyperlink ref="L1568" r:id="rId1566" tooltip="🔗 Ver Mapa" display="🔗 Ver Mapa"/>
    <hyperlink ref="L1569" r:id="rId1567" tooltip="🔗 Ver Mapa" display="🔗 Ver Mapa"/>
    <hyperlink ref="L1570" r:id="rId1568" tooltip="🔗 Ver Mapa" display="🔗 Ver Mapa"/>
    <hyperlink ref="L1571" r:id="rId1569" tooltip="🔗 Ver Mapa" display="🔗 Ver Mapa"/>
    <hyperlink ref="L1572" r:id="rId1570" tooltip="🔗 Ver Mapa" display="🔗 Ver Mapa"/>
    <hyperlink ref="L1573" r:id="rId1571" tooltip="🔗 Ver Mapa" display="🔗 Ver Mapa"/>
    <hyperlink ref="L1574" r:id="rId1572" tooltip="🔗 Ver Mapa" display="🔗 Ver Mapa"/>
    <hyperlink ref="L1575" r:id="rId1573" tooltip="🔗 Ver Mapa" display="🔗 Ver Mapa"/>
    <hyperlink ref="L1576" r:id="rId1574" tooltip="🔗 Ver Mapa" display="🔗 Ver Mapa"/>
    <hyperlink ref="L1577" r:id="rId1575" tooltip="🔗 Ver Mapa" display="🔗 Ver Mapa"/>
    <hyperlink ref="L1578" r:id="rId1576" tooltip="🔗 Ver Mapa" display="🔗 Ver Mapa"/>
    <hyperlink ref="L1579" r:id="rId1577" tooltip="🔗 Ver Mapa" display="🔗 Ver Mapa"/>
    <hyperlink ref="L1580" r:id="rId1578" tooltip="🔗 Ver Mapa" display="🔗 Ver Mapa"/>
    <hyperlink ref="L1581" r:id="rId1579" tooltip="🔗 Ver Mapa" display="🔗 Ver Mapa"/>
    <hyperlink ref="L1582" r:id="rId1580" tooltip="🔗 Ver Mapa" display="🔗 Ver Mapa"/>
    <hyperlink ref="L1583" r:id="rId1581" tooltip="🔗 Ver Mapa" display="🔗 Ver Mapa"/>
    <hyperlink ref="L1584" r:id="rId1582" tooltip="🔗 Ver Mapa" display="🔗 Ver Mapa"/>
    <hyperlink ref="L1585" r:id="rId1583" tooltip="🔗 Ver Mapa" display="🔗 Ver Mapa"/>
    <hyperlink ref="L1586" r:id="rId1584" tooltip="🔗 Ver Mapa" display="🔗 Ver Mapa"/>
    <hyperlink ref="L1587" r:id="rId1585" tooltip="🔗 Ver Mapa" display="🔗 Ver Mapa"/>
    <hyperlink ref="L1588" r:id="rId1586" tooltip="🔗 Ver Mapa" display="🔗 Ver Mapa"/>
    <hyperlink ref="L1589" r:id="rId1587" tooltip="🔗 Ver Mapa" display="🔗 Ver Mapa"/>
    <hyperlink ref="L1590" r:id="rId1588" tooltip="🔗 Ver Mapa" display="🔗 Ver Mapa"/>
    <hyperlink ref="L1591" r:id="rId1589" tooltip="🔗 Ver Mapa" display="🔗 Ver Mapa"/>
    <hyperlink ref="L1592" r:id="rId1590" tooltip="🔗 Ver Mapa" display="🔗 Ver Mapa"/>
    <hyperlink ref="L1593" r:id="rId1591" tooltip="🔗 Ver Mapa" display="🔗 Ver Mapa"/>
    <hyperlink ref="L1594" r:id="rId1592" tooltip="🔗 Ver Mapa" display="🔗 Ver Mapa"/>
    <hyperlink ref="L1595" r:id="rId1593" tooltip="🔗 Ver Mapa" display="🔗 Ver Mapa"/>
    <hyperlink ref="L1596" r:id="rId1594" tooltip="🔗 Ver Mapa" display="🔗 Ver Mapa"/>
    <hyperlink ref="L1597" r:id="rId1595" tooltip="🔗 Ver Mapa" display="🔗 Ver Mapa"/>
    <hyperlink ref="L1598" r:id="rId1596" tooltip="🔗 Ver Mapa" display="🔗 Ver Mapa"/>
    <hyperlink ref="L1599" r:id="rId1597" tooltip="🔗 Ver Mapa" display="🔗 Ver Mapa"/>
    <hyperlink ref="L1600" r:id="rId1598" tooltip="🔗 Ver Mapa" display="🔗 Ver Mapa"/>
    <hyperlink ref="L1601" r:id="rId1599" tooltip="🔗 Ver Mapa" display="🔗 Ver Mapa"/>
    <hyperlink ref="L1602" r:id="rId1600" tooltip="🔗 Ver Mapa" display="🔗 Ver Mapa"/>
    <hyperlink ref="L1603" r:id="rId1601" tooltip="🔗 Ver Mapa" display="🔗 Ver Mapa"/>
    <hyperlink ref="L1604" r:id="rId1602" tooltip="🔗 Ver Mapa" display="🔗 Ver Mapa"/>
    <hyperlink ref="L1605" r:id="rId1603" tooltip="🔗 Ver Mapa" display="🔗 Ver Mapa"/>
    <hyperlink ref="L1606" r:id="rId1604" tooltip="🔗 Ver Mapa" display="🔗 Ver Mapa"/>
    <hyperlink ref="L1607" r:id="rId1605" tooltip="🔗 Ver Mapa" display="🔗 Ver Mapa"/>
    <hyperlink ref="L1608" r:id="rId1606" tooltip="🔗 Ver Mapa" display="🔗 Ver Mapa"/>
    <hyperlink ref="L1609" r:id="rId1607" tooltip="🔗 Ver Mapa" display="🔗 Ver Mapa"/>
    <hyperlink ref="L1610" r:id="rId1608" tooltip="🔗 Ver Mapa" display="🔗 Ver Mapa"/>
    <hyperlink ref="L1611" r:id="rId1609" tooltip="🔗 Ver Mapa" display="🔗 Ver Mapa"/>
    <hyperlink ref="L1612" r:id="rId1610" tooltip="🔗 Ver Mapa" display="🔗 Ver Mapa"/>
    <hyperlink ref="L1613" r:id="rId1611" tooltip="🔗 Ver Mapa" display="🔗 Ver Mapa"/>
    <hyperlink ref="L1614" r:id="rId1612" tooltip="🔗 Ver Mapa" display="🔗 Ver Mapa"/>
    <hyperlink ref="L1615" r:id="rId1613" tooltip="🔗 Ver Mapa" display="🔗 Ver Mapa"/>
    <hyperlink ref="L1616" r:id="rId1614" tooltip="🔗 Ver Mapa" display="🔗 Ver Mapa"/>
    <hyperlink ref="L1617" r:id="rId1615" tooltip="🔗 Ver Mapa" display="🔗 Ver Mapa"/>
    <hyperlink ref="L1618" r:id="rId1616" tooltip="🔗 Ver Mapa" display="🔗 Ver Mapa"/>
    <hyperlink ref="L1619" r:id="rId1617" tooltip="🔗 Ver Mapa" display="🔗 Ver Mapa"/>
    <hyperlink ref="L1620" r:id="rId1618" tooltip="🔗 Ver Mapa" display="🔗 Ver Mapa"/>
    <hyperlink ref="L1621" r:id="rId1619" tooltip="🔗 Ver Mapa" display="🔗 Ver Mapa"/>
    <hyperlink ref="L1622" r:id="rId1620" tooltip="🔗 Ver Mapa" display="🔗 Ver Mapa"/>
    <hyperlink ref="L1623" r:id="rId1621" tooltip="🔗 Ver Mapa" display="🔗 Ver Mapa"/>
    <hyperlink ref="L1624" r:id="rId1622" tooltip="🔗 Ver Mapa" display="🔗 Ver Mapa"/>
    <hyperlink ref="L1625" r:id="rId1623" tooltip="🔗 Ver Mapa" display="🔗 Ver Mapa"/>
    <hyperlink ref="L1626" r:id="rId1624" tooltip="🔗 Ver Mapa" display="🔗 Ver Mapa"/>
    <hyperlink ref="L1627" r:id="rId1625" tooltip="🔗 Ver Mapa" display="🔗 Ver Mapa"/>
    <hyperlink ref="L1628" r:id="rId1626" tooltip="🔗 Ver Mapa" display="🔗 Ver Mapa"/>
    <hyperlink ref="L1629" r:id="rId1627" tooltip="🔗 Ver Mapa" display="🔗 Ver Mapa"/>
    <hyperlink ref="L1630" r:id="rId1628" tooltip="🔗 Ver Mapa" display="🔗 Ver Mapa"/>
    <hyperlink ref="L1631" r:id="rId1629" tooltip="🔗 Ver Mapa" display="🔗 Ver Mapa"/>
    <hyperlink ref="L1632" r:id="rId1630" tooltip="🔗 Ver Mapa" display="🔗 Ver Mapa"/>
    <hyperlink ref="L1633" r:id="rId1631" tooltip="🔗 Ver Mapa" display="🔗 Ver Mapa"/>
    <hyperlink ref="L1634" r:id="rId1632" tooltip="🔗 Ver Mapa" display="🔗 Ver Mapa"/>
    <hyperlink ref="L1635" r:id="rId1633" tooltip="🔗 Ver Mapa" display="🔗 Ver Mapa"/>
    <hyperlink ref="L1636" r:id="rId1634" tooltip="🔗 Ver Mapa" display="🔗 Ver Mapa"/>
    <hyperlink ref="L1637" r:id="rId1635" tooltip="🔗 Ver Mapa" display="🔗 Ver Mapa"/>
    <hyperlink ref="L1638" r:id="rId1636" tooltip="🔗 Ver Mapa" display="🔗 Ver Mapa"/>
    <hyperlink ref="L1639" r:id="rId1637" tooltip="🔗 Ver Mapa" display="🔗 Ver Mapa"/>
    <hyperlink ref="L1640" r:id="rId1638" tooltip="🔗 Ver Mapa" display="🔗 Ver Mapa"/>
    <hyperlink ref="L1641" r:id="rId1639" tooltip="🔗 Ver Mapa" display="🔗 Ver Mapa"/>
    <hyperlink ref="L1642" r:id="rId1640" tooltip="🔗 Ver Mapa" display="🔗 Ver Mapa"/>
    <hyperlink ref="L1643" r:id="rId1641" tooltip="🔗 Ver Mapa" display="🔗 Ver Mapa"/>
    <hyperlink ref="L1644" r:id="rId1642" tooltip="🔗 Ver Mapa" display="🔗 Ver Mapa"/>
    <hyperlink ref="L1645" r:id="rId1643" tooltip="🔗 Ver Mapa" display="🔗 Ver Mapa"/>
    <hyperlink ref="L1646" r:id="rId1644" tooltip="🔗 Ver Mapa" display="🔗 Ver Mapa"/>
    <hyperlink ref="L1647" r:id="rId1645" tooltip="🔗 Ver Mapa" display="🔗 Ver Mapa"/>
    <hyperlink ref="L1648" r:id="rId1646" tooltip="🔗 Ver Mapa" display="🔗 Ver Mapa"/>
    <hyperlink ref="L1649" r:id="rId1647" tooltip="🔗 Ver Mapa" display="🔗 Ver Mapa"/>
    <hyperlink ref="L1650" r:id="rId1648" tooltip="🔗 Ver Mapa" display="🔗 Ver Mapa"/>
    <hyperlink ref="L1651" r:id="rId1649" tooltip="🔗 Ver Mapa" display="🔗 Ver Mapa"/>
    <hyperlink ref="L1652" r:id="rId1650" tooltip="🔗 Ver Mapa" display="🔗 Ver Mapa"/>
    <hyperlink ref="L1653" r:id="rId1651" tooltip="🔗 Ver Mapa" display="🔗 Ver Mapa"/>
    <hyperlink ref="L1654" r:id="rId1652" tooltip="🔗 Ver Mapa" display="🔗 Ver Mapa"/>
    <hyperlink ref="L1655" r:id="rId1653" tooltip="🔗 Ver Mapa" display="🔗 Ver Mapa"/>
    <hyperlink ref="L1656" r:id="rId1654" tooltip="🔗 Ver Mapa" display="🔗 Ver Mapa"/>
    <hyperlink ref="L1657" r:id="rId1655" tooltip="🔗 Ver Mapa" display="🔗 Ver Mapa"/>
    <hyperlink ref="L1658" r:id="rId1656" tooltip="🔗 Ver Mapa" display="🔗 Ver Mapa"/>
    <hyperlink ref="L1659" r:id="rId1657" tooltip="🔗 Ver Mapa" display="🔗 Ver Mapa"/>
    <hyperlink ref="L1660" r:id="rId1658" tooltip="🔗 Ver Mapa" display="🔗 Ver Mapa"/>
    <hyperlink ref="L1661" r:id="rId1659" tooltip="🔗 Ver Mapa" display="🔗 Ver Mapa"/>
    <hyperlink ref="L1662" r:id="rId1660" tooltip="🔗 Ver Mapa" display="🔗 Ver Mapa"/>
    <hyperlink ref="L1663" r:id="rId1661" tooltip="🔗 Ver Mapa" display="🔗 Ver Mapa"/>
    <hyperlink ref="L1664" r:id="rId1662" tooltip="🔗 Ver Mapa" display="🔗 Ver Mapa"/>
    <hyperlink ref="L1665" r:id="rId1663" tooltip="🔗 Ver Mapa" display="🔗 Ver Mapa"/>
    <hyperlink ref="L1666" r:id="rId1664" tooltip="🔗 Ver Mapa" display="🔗 Ver Mapa"/>
    <hyperlink ref="L1667" r:id="rId1665" tooltip="🔗 Ver Mapa" display="🔗 Ver Mapa"/>
    <hyperlink ref="L1668" r:id="rId1666" tooltip="🔗 Ver Mapa" display="🔗 Ver Mapa"/>
    <hyperlink ref="L1669" r:id="rId1667" tooltip="🔗 Ver Mapa" display="🔗 Ver Mapa"/>
    <hyperlink ref="L1670" r:id="rId1668" tooltip="🔗 Ver Mapa" display="🔗 Ver Mapa"/>
    <hyperlink ref="L1671" r:id="rId1669" tooltip="🔗 Ver Mapa" display="🔗 Ver Mapa"/>
    <hyperlink ref="L1672" r:id="rId1670" tooltip="🔗 Ver Mapa" display="🔗 Ver Mapa"/>
    <hyperlink ref="L1673" r:id="rId1671" tooltip="🔗 Ver Mapa" display="🔗 Ver Mapa"/>
    <hyperlink ref="L1674" r:id="rId1672" tooltip="🔗 Ver Mapa" display="🔗 Ver Mapa"/>
    <hyperlink ref="L1675" r:id="rId1673" tooltip="🔗 Ver Mapa" display="🔗 Ver Mapa"/>
    <hyperlink ref="L1676" r:id="rId1674" tooltip="🔗 Ver Mapa" display="🔗 Ver Mapa"/>
    <hyperlink ref="L1677" r:id="rId1675" tooltip="🔗 Ver Mapa" display="🔗 Ver Mapa"/>
    <hyperlink ref="L1678" r:id="rId1676" tooltip="🔗 Ver Mapa" display="🔗 Ver Mapa"/>
    <hyperlink ref="L1679" r:id="rId1677" tooltip="🔗 Ver Mapa" display="🔗 Ver Mapa"/>
    <hyperlink ref="L1680" r:id="rId1678" tooltip="🔗 Ver Mapa" display="🔗 Ver Mapa"/>
    <hyperlink ref="L1681" r:id="rId1679" tooltip="🔗 Ver Mapa" display="🔗 Ver Mapa"/>
    <hyperlink ref="L1682" r:id="rId1680" tooltip="🔗 Ver Mapa" display="🔗 Ver Mapa"/>
    <hyperlink ref="L1683" r:id="rId1681" tooltip="🔗 Ver Mapa" display="🔗 Ver Mapa"/>
    <hyperlink ref="L1684" r:id="rId1682" tooltip="🔗 Ver Mapa" display="🔗 Ver Mapa"/>
    <hyperlink ref="L1685" r:id="rId1683" tooltip="🔗 Ver Mapa" display="🔗 Ver Mapa"/>
    <hyperlink ref="L1686" r:id="rId1684" tooltip="🔗 Ver Mapa" display="🔗 Ver Mapa"/>
    <hyperlink ref="L1687" r:id="rId1685" tooltip="🔗 Ver Mapa" display="🔗 Ver Mapa"/>
    <hyperlink ref="L1688" r:id="rId1686" tooltip="🔗 Ver Mapa" display="🔗 Ver Mapa"/>
    <hyperlink ref="L1689" r:id="rId1687" tooltip="🔗 Ver Mapa" display="🔗 Ver Mapa"/>
    <hyperlink ref="L1690" r:id="rId1688" tooltip="🔗 Ver Mapa" display="🔗 Ver Mapa"/>
    <hyperlink ref="L1691" r:id="rId1689" tooltip="🔗 Ver Mapa" display="🔗 Ver Mapa"/>
    <hyperlink ref="L1692" r:id="rId1690" tooltip="🔗 Ver Mapa" display="🔗 Ver Mapa"/>
    <hyperlink ref="L1693" r:id="rId1691" tooltip="🔗 Ver Mapa" display="🔗 Ver Mapa"/>
    <hyperlink ref="L1694" r:id="rId1692" tooltip="🔗 Ver Mapa" display="🔗 Ver Mapa"/>
    <hyperlink ref="L1695" r:id="rId1693" tooltip="🔗 Ver Mapa" display="🔗 Ver Mapa"/>
    <hyperlink ref="L1696" r:id="rId1694" tooltip="🔗 Ver Mapa" display="🔗 Ver Mapa"/>
    <hyperlink ref="L1697" r:id="rId1695" tooltip="🔗 Ver Mapa" display="🔗 Ver Mapa"/>
    <hyperlink ref="L1698" r:id="rId1696" tooltip="🔗 Ver Mapa" display="🔗 Ver Mapa"/>
    <hyperlink ref="L1699" r:id="rId1697" tooltip="🔗 Ver Mapa" display="🔗 Ver Mapa"/>
    <hyperlink ref="L1700" r:id="rId1698" tooltip="🔗 Ver Mapa" display="🔗 Ver Mapa"/>
    <hyperlink ref="L1701" r:id="rId1699" tooltip="🔗 Ver Mapa" display="🔗 Ver Mapa"/>
    <hyperlink ref="L1702" r:id="rId1700" tooltip="🔗 Ver Mapa" display="🔗 Ver Mapa"/>
    <hyperlink ref="L1703" r:id="rId1701" tooltip="🔗 Ver Mapa" display="🔗 Ver Mapa"/>
    <hyperlink ref="L1704" r:id="rId1702" tooltip="🔗 Ver Mapa" display="🔗 Ver Mapa"/>
    <hyperlink ref="L1705" r:id="rId1703" tooltip="🔗 Ver Mapa" display="🔗 Ver Mapa"/>
    <hyperlink ref="L1706" r:id="rId1704" tooltip="🔗 Ver Mapa" display="🔗 Ver Mapa"/>
    <hyperlink ref="L1707" r:id="rId1705" tooltip="🔗 Ver Mapa" display="🔗 Ver Mapa"/>
    <hyperlink ref="L1708" r:id="rId1706" tooltip="🔗 Ver Mapa" display="🔗 Ver Mapa"/>
    <hyperlink ref="L1709" r:id="rId1707" tooltip="🔗 Ver Mapa" display="🔗 Ver Mapa"/>
    <hyperlink ref="L1710" r:id="rId1708" tooltip="🔗 Ver Mapa" display="🔗 Ver Mapa"/>
    <hyperlink ref="L1711" r:id="rId1709" tooltip="🔗 Ver Mapa" display="🔗 Ver Mapa"/>
    <hyperlink ref="L1712" r:id="rId1710" tooltip="🔗 Ver Mapa" display="🔗 Ver Mapa"/>
    <hyperlink ref="L1713" r:id="rId1711" tooltip="🔗 Ver Mapa" display="🔗 Ver Mapa"/>
    <hyperlink ref="L1714" r:id="rId1712" tooltip="🔗 Ver Mapa" display="🔗 Ver Mapa"/>
    <hyperlink ref="L1715" r:id="rId1713" tooltip="🔗 Ver Mapa" display="🔗 Ver Mapa"/>
    <hyperlink ref="L1716" r:id="rId1714" tooltip="🔗 Ver Mapa" display="🔗 Ver Mapa"/>
    <hyperlink ref="L1717" r:id="rId1715" tooltip="🔗 Ver Mapa" display="🔗 Ver Mapa"/>
    <hyperlink ref="L1718" r:id="rId1716" tooltip="🔗 Ver Mapa" display="🔗 Ver Mapa"/>
    <hyperlink ref="L1719" r:id="rId1717" tooltip="🔗 Ver Mapa" display="🔗 Ver Mapa"/>
    <hyperlink ref="L1720" r:id="rId1718" tooltip="🔗 Ver Mapa" display="🔗 Ver Mapa"/>
    <hyperlink ref="L1721" r:id="rId1719" tooltip="🔗 Ver Mapa" display="🔗 Ver Mapa"/>
    <hyperlink ref="L1722" r:id="rId1720" tooltip="🔗 Ver Mapa" display="🔗 Ver Mapa"/>
    <hyperlink ref="L1723" r:id="rId1721" tooltip="🔗 Ver Mapa" display="🔗 Ver Mapa"/>
    <hyperlink ref="L1724" r:id="rId1722" tooltip="🔗 Ver Mapa" display="🔗 Ver Mapa"/>
    <hyperlink ref="L1725" r:id="rId1723" tooltip="🔗 Ver Mapa" display="🔗 Ver Mapa"/>
    <hyperlink ref="L1726" r:id="rId1724" tooltip="🔗 Ver Mapa" display="🔗 Ver Mapa"/>
    <hyperlink ref="L1727" r:id="rId1725" tooltip="🔗 Ver Mapa" display="🔗 Ver Mapa"/>
    <hyperlink ref="L1728" r:id="rId1726" tooltip="🔗 Ver Mapa" display="🔗 Ver Mapa"/>
    <hyperlink ref="L1729" r:id="rId1727" tooltip="🔗 Ver Mapa" display="🔗 Ver Mapa"/>
    <hyperlink ref="L1730" r:id="rId1728" tooltip="🔗 Ver Mapa" display="🔗 Ver Mapa"/>
    <hyperlink ref="L1731" r:id="rId1729" tooltip="🔗 Ver Mapa" display="🔗 Ver Mapa"/>
    <hyperlink ref="L1732" r:id="rId1730" tooltip="🔗 Ver Mapa" display="🔗 Ver Mapa"/>
    <hyperlink ref="L1733" r:id="rId1731" tooltip="🔗 Ver Mapa" display="🔗 Ver Mapa"/>
    <hyperlink ref="L1734" r:id="rId1732" tooltip="🔗 Ver Mapa" display="🔗 Ver Mapa"/>
    <hyperlink ref="L1735" r:id="rId1733" tooltip="🔗 Ver Mapa" display="🔗 Ver Mapa"/>
    <hyperlink ref="L1736" r:id="rId1734" tooltip="🔗 Ver Mapa" display="🔗 Ver Mapa"/>
    <hyperlink ref="L1737" r:id="rId1735" tooltip="🔗 Ver Mapa" display="🔗 Ver Mapa"/>
    <hyperlink ref="L1738" r:id="rId1736" tooltip="🔗 Ver Mapa" display="🔗 Ver Mapa"/>
    <hyperlink ref="L1739" r:id="rId1737" tooltip="🔗 Ver Mapa" display="🔗 Ver Mapa"/>
    <hyperlink ref="L1740" r:id="rId1738" tooltip="🔗 Ver Mapa" display="🔗 Ver Mapa"/>
    <hyperlink ref="L1741" r:id="rId1739" tooltip="🔗 Ver Mapa" display="🔗 Ver Mapa"/>
    <hyperlink ref="L1742" r:id="rId1740" tooltip="🔗 Ver Mapa" display="🔗 Ver Mapa"/>
    <hyperlink ref="L1743" r:id="rId1741" tooltip="🔗 Ver Mapa" display="🔗 Ver Mapa"/>
    <hyperlink ref="L1744" r:id="rId1742" tooltip="🔗 Ver Mapa" display="🔗 Ver Mapa"/>
    <hyperlink ref="L1745" r:id="rId1743" tooltip="🔗 Ver Mapa" display="🔗 Ver Mapa"/>
    <hyperlink ref="L1746" r:id="rId1744" tooltip="🔗 Ver Mapa" display="🔗 Ver Mapa"/>
    <hyperlink ref="L1747" r:id="rId1745" tooltip="🔗 Ver Mapa" display="🔗 Ver Mapa"/>
    <hyperlink ref="L1748" r:id="rId1746" tooltip="🔗 Ver Mapa" display="🔗 Ver Mapa"/>
    <hyperlink ref="L1749" r:id="rId1747" tooltip="🔗 Ver Mapa" display="🔗 Ver Mapa"/>
    <hyperlink ref="L1750" r:id="rId1748" tooltip="🔗 Ver Mapa" display="🔗 Ver Mapa"/>
    <hyperlink ref="L1751" r:id="rId1749" tooltip="🔗 Ver Mapa" display="🔗 Ver Mapa"/>
    <hyperlink ref="L1752" r:id="rId1750" tooltip="🔗 Ver Mapa" display="🔗 Ver Mapa"/>
    <hyperlink ref="L1753" r:id="rId1751" tooltip="🔗 Ver Mapa" display="🔗 Ver Mapa"/>
    <hyperlink ref="L1754" r:id="rId1752" tooltip="🔗 Ver Mapa" display="🔗 Ver Mapa"/>
    <hyperlink ref="L1755" r:id="rId1753" tooltip="🔗 Ver Mapa" display="🔗 Ver Mapa"/>
    <hyperlink ref="L1756" r:id="rId1754" tooltip="🔗 Ver Mapa" display="🔗 Ver Mapa"/>
    <hyperlink ref="L1757" r:id="rId1755" tooltip="🔗 Ver Mapa" display="🔗 Ver Mapa"/>
    <hyperlink ref="L1758" r:id="rId1756" tooltip="🔗 Ver Mapa" display="🔗 Ver Mapa"/>
    <hyperlink ref="L1759" r:id="rId1757" tooltip="🔗 Ver Mapa" display="🔗 Ver Mapa"/>
    <hyperlink ref="L1760" r:id="rId1758" tooltip="🔗 Ver Mapa" display="🔗 Ver Mapa"/>
    <hyperlink ref="L1761" r:id="rId1759" tooltip="🔗 Ver Mapa" display="🔗 Ver Mapa"/>
    <hyperlink ref="L1762" r:id="rId1760" tooltip="🔗 Ver Mapa" display="🔗 Ver Mapa"/>
    <hyperlink ref="L1763" r:id="rId1761" tooltip="🔗 Ver Mapa" display="🔗 Ver Mapa"/>
    <hyperlink ref="L1764" r:id="rId1762" tooltip="🔗 Ver Mapa" display="🔗 Ver Mapa"/>
    <hyperlink ref="L1765" r:id="rId1763" tooltip="🔗 Ver Mapa" display="🔗 Ver Mapa"/>
    <hyperlink ref="L1766" r:id="rId1764" tooltip="🔗 Ver Mapa" display="🔗 Ver Mapa"/>
    <hyperlink ref="L1767" r:id="rId1765" tooltip="🔗 Ver Mapa" display="🔗 Ver Mapa"/>
    <hyperlink ref="L1768" r:id="rId1766" tooltip="🔗 Ver Mapa" display="🔗 Ver Mapa"/>
    <hyperlink ref="L1769" r:id="rId1767" tooltip="🔗 Ver Mapa" display="🔗 Ver Mapa"/>
    <hyperlink ref="L1770" r:id="rId1768" tooltip="🔗 Ver Mapa" display="🔗 Ver Mapa"/>
    <hyperlink ref="L1771" r:id="rId1769" tooltip="🔗 Ver Mapa" display="🔗 Ver Mapa"/>
    <hyperlink ref="L1772" r:id="rId1770" tooltip="🔗 Ver Mapa" display="🔗 Ver Mapa"/>
    <hyperlink ref="L1773" r:id="rId1771" tooltip="🔗 Ver Mapa" display="🔗 Ver Mapa"/>
    <hyperlink ref="L1774" r:id="rId1772" tooltip="🔗 Ver Mapa" display="🔗 Ver Mapa"/>
    <hyperlink ref="L1775" r:id="rId1773" tooltip="🔗 Ver Mapa" display="🔗 Ver Mapa"/>
    <hyperlink ref="L1776" r:id="rId1774" tooltip="🔗 Ver Mapa" display="🔗 Ver Mapa"/>
    <hyperlink ref="L1777" r:id="rId1775" tooltip="🔗 Ver Mapa" display="🔗 Ver Mapa"/>
    <hyperlink ref="L1778" r:id="rId1776" tooltip="🔗 Ver Mapa" display="🔗 Ver Mapa"/>
    <hyperlink ref="L1779" r:id="rId1777" tooltip="🔗 Ver Mapa" display="🔗 Ver Mapa"/>
    <hyperlink ref="L1780" r:id="rId1778" tooltip="🔗 Ver Mapa" display="🔗 Ver Mapa"/>
    <hyperlink ref="L1781" r:id="rId1779" tooltip="🔗 Ver Mapa" display="🔗 Ver Mapa"/>
    <hyperlink ref="L1782" r:id="rId1780" tooltip="🔗 Ver Mapa" display="🔗 Ver Mapa"/>
    <hyperlink ref="L1783" r:id="rId1781" tooltip="🔗 Ver Mapa" display="🔗 Ver Mapa"/>
    <hyperlink ref="L1784" r:id="rId1782" tooltip="🔗 Ver Mapa" display="🔗 Ver Mapa"/>
    <hyperlink ref="L1785" r:id="rId1783" tooltip="🔗 Ver Mapa" display="🔗 Ver Mapa"/>
    <hyperlink ref="L1786" r:id="rId1784" tooltip="🔗 Ver Mapa" display="🔗 Ver Mapa"/>
    <hyperlink ref="L1787" r:id="rId1785" tooltip="🔗 Ver Mapa" display="🔗 Ver Mapa"/>
    <hyperlink ref="L1788" r:id="rId1786" tooltip="🔗 Ver Mapa" display="🔗 Ver Mapa"/>
    <hyperlink ref="L1789" r:id="rId1787" tooltip="🔗 Ver Mapa" display="🔗 Ver Mapa"/>
    <hyperlink ref="L1790" r:id="rId1788" tooltip="🔗 Ver Mapa" display="🔗 Ver Mapa"/>
    <hyperlink ref="L1791" r:id="rId1789" tooltip="🔗 Ver Mapa" display="🔗 Ver Mapa"/>
    <hyperlink ref="L1792" r:id="rId1790" tooltip="🔗 Ver Mapa" display="🔗 Ver Mapa"/>
    <hyperlink ref="L1793" r:id="rId1791" tooltip="🔗 Ver Mapa" display="🔗 Ver Mapa"/>
    <hyperlink ref="L1794" r:id="rId1792" tooltip="🔗 Ver Mapa" display="🔗 Ver Mapa"/>
    <hyperlink ref="L1795" r:id="rId1793" tooltip="🔗 Ver Mapa" display="🔗 Ver Mapa"/>
    <hyperlink ref="L1796" r:id="rId1794" tooltip="🔗 Ver Mapa" display="🔗 Ver Mapa"/>
    <hyperlink ref="L1797" r:id="rId1795" tooltip="🔗 Ver Mapa" display="🔗 Ver Mapa"/>
    <hyperlink ref="L1798" r:id="rId1796" tooltip="🔗 Ver Mapa" display="🔗 Ver Mapa"/>
    <hyperlink ref="L1799" r:id="rId1797" tooltip="🔗 Ver Mapa" display="🔗 Ver Mapa"/>
    <hyperlink ref="L1800" r:id="rId1798" tooltip="🔗 Ver Mapa" display="🔗 Ver Mapa"/>
    <hyperlink ref="L1801" r:id="rId1799" tooltip="🔗 Ver Mapa" display="🔗 Ver Mapa"/>
    <hyperlink ref="L1802" r:id="rId1800" tooltip="🔗 Ver Mapa" display="🔗 Ver Mapa"/>
    <hyperlink ref="L1803" r:id="rId1801" tooltip="🔗 Ver Mapa" display="🔗 Ver Mapa"/>
    <hyperlink ref="L1804" r:id="rId1802" tooltip="🔗 Ver Mapa" display="🔗 Ver Mapa"/>
    <hyperlink ref="L1805" r:id="rId1803" tooltip="🔗 Ver Mapa" display="🔗 Ver Mapa"/>
    <hyperlink ref="L1806" r:id="rId1804" tooltip="🔗 Ver Mapa" display="🔗 Ver Mapa"/>
    <hyperlink ref="L1807" r:id="rId1805" tooltip="🔗 Ver Mapa" display="🔗 Ver Mapa"/>
    <hyperlink ref="L1808" r:id="rId1806" tooltip="🔗 Ver Mapa" display="🔗 Ver Mapa"/>
    <hyperlink ref="L1809" r:id="rId1807" tooltip="🔗 Ver Mapa" display="🔗 Ver Mapa"/>
    <hyperlink ref="L1810" r:id="rId1808" tooltip="🔗 Ver Mapa" display="🔗 Ver Mapa"/>
    <hyperlink ref="L1811" r:id="rId1809" tooltip="🔗 Ver Mapa" display="🔗 Ver Mapa"/>
    <hyperlink ref="L1812" r:id="rId1810" tooltip="🔗 Ver Mapa" display="🔗 Ver Mapa"/>
    <hyperlink ref="L1813" r:id="rId1811" tooltip="🔗 Ver Mapa" display="🔗 Ver Mapa"/>
    <hyperlink ref="L1814" r:id="rId1812" tooltip="🔗 Ver Mapa" display="🔗 Ver Mapa"/>
    <hyperlink ref="L1815" r:id="rId1813" tooltip="🔗 Ver Mapa" display="🔗 Ver Mapa"/>
    <hyperlink ref="L1816" r:id="rId1814" tooltip="🔗 Ver Mapa" display="🔗 Ver Mapa"/>
    <hyperlink ref="L1817" r:id="rId1815" tooltip="🔗 Ver Mapa" display="🔗 Ver Mapa"/>
    <hyperlink ref="L1818" r:id="rId1816" tooltip="🔗 Ver Mapa" display="🔗 Ver Mapa"/>
    <hyperlink ref="L1819" r:id="rId1817" tooltip="🔗 Ver Mapa" display="🔗 Ver Mapa"/>
    <hyperlink ref="L1820" r:id="rId1818" tooltip="🔗 Ver Mapa" display="🔗 Ver Mapa"/>
    <hyperlink ref="L1821" r:id="rId1819" tooltip="🔗 Ver Mapa" display="🔗 Ver Mapa"/>
    <hyperlink ref="L1822" r:id="rId1820" tooltip="🔗 Ver Mapa" display="🔗 Ver Mapa"/>
    <hyperlink ref="L1823" r:id="rId1821" tooltip="🔗 Ver Mapa" display="🔗 Ver Mapa"/>
    <hyperlink ref="L1824" r:id="rId1822" tooltip="🔗 Ver Mapa" display="🔗 Ver Mapa"/>
    <hyperlink ref="L1825" r:id="rId1823" tooltip="🔗 Ver Mapa" display="🔗 Ver Mapa"/>
    <hyperlink ref="L1826" r:id="rId1824" tooltip="🔗 Ver Mapa" display="🔗 Ver Mapa"/>
    <hyperlink ref="L1827" r:id="rId1825" tooltip="🔗 Ver Mapa" display="🔗 Ver Mapa"/>
    <hyperlink ref="L1828" r:id="rId1826" tooltip="🔗 Ver Mapa" display="🔗 Ver Mapa"/>
    <hyperlink ref="L1829" r:id="rId1827" tooltip="🔗 Ver Mapa" display="🔗 Ver Mapa"/>
    <hyperlink ref="L1830" r:id="rId1828" tooltip="🔗 Ver Mapa" display="🔗 Ver Mapa"/>
    <hyperlink ref="L1831" r:id="rId1829" tooltip="🔗 Ver Mapa" display="🔗 Ver Mapa"/>
    <hyperlink ref="L1832" r:id="rId1830" tooltip="🔗 Ver Mapa" display="🔗 Ver Mapa"/>
    <hyperlink ref="L1833" r:id="rId1831" tooltip="🔗 Ver Mapa" display="🔗 Ver Mapa"/>
    <hyperlink ref="L1834" r:id="rId1832" tooltip="🔗 Ver Mapa" display="🔗 Ver Mapa"/>
    <hyperlink ref="L1835" r:id="rId1833" tooltip="🔗 Ver Mapa" display="🔗 Ver Mapa"/>
    <hyperlink ref="L1836" r:id="rId1834" tooltip="🔗 Ver Mapa" display="🔗 Ver Mapa"/>
    <hyperlink ref="L1837" r:id="rId1835" tooltip="🔗 Ver Mapa" display="🔗 Ver Mapa"/>
    <hyperlink ref="L1838" r:id="rId1836" tooltip="🔗 Ver Mapa" display="🔗 Ver Mapa"/>
    <hyperlink ref="L1839" r:id="rId1837" tooltip="🔗 Ver Mapa" display="🔗 Ver Mapa"/>
    <hyperlink ref="L1840" r:id="rId1838" tooltip="🔗 Ver Mapa" display="🔗 Ver Mapa"/>
    <hyperlink ref="L1841" r:id="rId1839" tooltip="🔗 Ver Mapa" display="🔗 Ver Mapa"/>
    <hyperlink ref="L1842" r:id="rId1840" tooltip="🔗 Ver Mapa" display="🔗 Ver Mapa"/>
    <hyperlink ref="L1843" r:id="rId1841" tooltip="🔗 Ver Mapa" display="🔗 Ver Mapa"/>
    <hyperlink ref="L1844" r:id="rId1842" tooltip="🔗 Ver Mapa" display="🔗 Ver Mapa"/>
    <hyperlink ref="L1845" r:id="rId1843" tooltip="🔗 Ver Mapa" display="🔗 Ver Mapa"/>
    <hyperlink ref="L1846" r:id="rId1844" tooltip="🔗 Ver Mapa" display="🔗 Ver Mapa"/>
    <hyperlink ref="L1847" r:id="rId1845" tooltip="🔗 Ver Mapa" display="🔗 Ver Mapa"/>
    <hyperlink ref="L1848" r:id="rId1846" tooltip="🔗 Ver Mapa" display="🔗 Ver Mapa"/>
    <hyperlink ref="L1849" r:id="rId1847" tooltip="🔗 Ver Mapa" display="🔗 Ver Mapa"/>
    <hyperlink ref="L1850" r:id="rId1848" tooltip="🔗 Ver Mapa" display="🔗 Ver Mapa"/>
    <hyperlink ref="L1851" r:id="rId1849" tooltip="🔗 Ver Mapa" display="🔗 Ver Mapa"/>
    <hyperlink ref="L1852" r:id="rId1850" tooltip="🔗 Ver Mapa" display="🔗 Ver Mapa"/>
    <hyperlink ref="L1853" r:id="rId1851" tooltip="🔗 Ver Mapa" display="🔗 Ver Mapa"/>
    <hyperlink ref="L1854" r:id="rId1852" tooltip="🔗 Ver Mapa" display="🔗 Ver Mapa"/>
    <hyperlink ref="L1855" r:id="rId1853" tooltip="🔗 Ver Mapa" display="🔗 Ver Mapa"/>
    <hyperlink ref="L1856" r:id="rId1854" tooltip="🔗 Ver Mapa" display="🔗 Ver Mapa"/>
    <hyperlink ref="L1857" r:id="rId1855" tooltip="🔗 Ver Mapa" display="🔗 Ver Mapa"/>
    <hyperlink ref="L1858" r:id="rId1856" tooltip="🔗 Ver Mapa" display="🔗 Ver Mapa"/>
    <hyperlink ref="L1859" r:id="rId1857" tooltip="🔗 Ver Mapa" display="🔗 Ver Mapa"/>
    <hyperlink ref="L1860" r:id="rId1858" tooltip="🔗 Ver Mapa" display="🔗 Ver Mapa"/>
    <hyperlink ref="L1861" r:id="rId1859" tooltip="🔗 Ver Mapa" display="🔗 Ver Mapa"/>
    <hyperlink ref="L1862" r:id="rId1860" tooltip="🔗 Ver Mapa" display="🔗 Ver Mapa"/>
    <hyperlink ref="L1863" r:id="rId1861" tooltip="🔗 Ver Mapa" display="🔗 Ver Mapa"/>
    <hyperlink ref="L1864" r:id="rId1862" tooltip="🔗 Ver Mapa" display="🔗 Ver Mapa"/>
    <hyperlink ref="L1865" r:id="rId1863" tooltip="🔗 Ver Mapa" display="🔗 Ver Mapa"/>
    <hyperlink ref="L1866" r:id="rId1864" tooltip="🔗 Ver Mapa" display="🔗 Ver Mapa"/>
    <hyperlink ref="L1867" r:id="rId1865" tooltip="🔗 Ver Mapa" display="🔗 Ver Mapa"/>
    <hyperlink ref="L1868" r:id="rId1866" tooltip="🔗 Ver Mapa" display="🔗 Ver Mapa"/>
    <hyperlink ref="L1869" r:id="rId1867" tooltip="🔗 Ver Mapa" display="🔗 Ver Mapa"/>
    <hyperlink ref="L1870" r:id="rId1868" tooltip="🔗 Ver Mapa" display="🔗 Ver Mapa"/>
    <hyperlink ref="L1871" r:id="rId1869" tooltip="🔗 Ver Mapa" display="🔗 Ver Mapa"/>
    <hyperlink ref="L1872" r:id="rId1870" tooltip="🔗 Ver Mapa" display="🔗 Ver Mapa"/>
    <hyperlink ref="L1873" r:id="rId1871" tooltip="🔗 Ver Mapa" display="🔗 Ver Mapa"/>
    <hyperlink ref="L1874" r:id="rId1872" tooltip="🔗 Ver Mapa" display="🔗 Ver Mapa"/>
    <hyperlink ref="L1875" r:id="rId1873" tooltip="🔗 Ver Mapa" display="🔗 Ver Mapa"/>
    <hyperlink ref="L1876" r:id="rId1874" tooltip="🔗 Ver Mapa" display="🔗 Ver Mapa"/>
    <hyperlink ref="L1877" r:id="rId1875" tooltip="🔗 Ver Mapa" display="🔗 Ver Mapa"/>
    <hyperlink ref="L1878" r:id="rId1876" tooltip="🔗 Ver Mapa" display="🔗 Ver Mapa"/>
    <hyperlink ref="L1879" r:id="rId1877" tooltip="🔗 Ver Mapa" display="🔗 Ver Mapa"/>
    <hyperlink ref="L1880" r:id="rId1878" tooltip="🔗 Ver Mapa" display="🔗 Ver Mapa"/>
    <hyperlink ref="L1881" r:id="rId1879" tooltip="🔗 Ver Mapa" display="🔗 Ver Mapa"/>
    <hyperlink ref="L1882" r:id="rId1880" tooltip="🔗 Ver Mapa" display="🔗 Ver Mapa"/>
    <hyperlink ref="L1883" r:id="rId1881" tooltip="🔗 Ver Mapa" display="🔗 Ver Mapa"/>
    <hyperlink ref="L1884" r:id="rId1882" tooltip="🔗 Ver Mapa" display="🔗 Ver Mapa"/>
    <hyperlink ref="L1885" r:id="rId1883" tooltip="🔗 Ver Mapa" display="🔗 Ver Mapa"/>
    <hyperlink ref="L1886" r:id="rId1884" tooltip="🔗 Ver Mapa" display="🔗 Ver Mapa"/>
    <hyperlink ref="L1887" r:id="rId1885" tooltip="🔗 Ver Mapa" display="🔗 Ver Mapa"/>
    <hyperlink ref="L1888" r:id="rId1886" tooltip="🔗 Ver Mapa" display="🔗 Ver Mapa"/>
    <hyperlink ref="L1889" r:id="rId1887" tooltip="🔗 Ver Mapa" display="🔗 Ver Mapa"/>
    <hyperlink ref="L1890" r:id="rId1888" tooltip="🔗 Ver Mapa" display="🔗 Ver Mapa"/>
    <hyperlink ref="L1891" r:id="rId1889" tooltip="🔗 Ver Mapa" display="🔗 Ver Mapa"/>
    <hyperlink ref="L1892" r:id="rId1890" tooltip="🔗 Ver Mapa" display="🔗 Ver Mapa"/>
    <hyperlink ref="L1893" r:id="rId1891" tooltip="🔗 Ver Mapa" display="🔗 Ver Mapa"/>
    <hyperlink ref="L1894" r:id="rId1892" tooltip="🔗 Ver Mapa" display="🔗 Ver Mapa"/>
    <hyperlink ref="L1895" r:id="rId1893" tooltip="🔗 Ver Mapa" display="🔗 Ver Mapa"/>
    <hyperlink ref="L1896" r:id="rId1894" tooltip="🔗 Ver Mapa" display="🔗 Ver Mapa"/>
    <hyperlink ref="L1897" r:id="rId1895" tooltip="🔗 Ver Mapa" display="🔗 Ver Mapa"/>
    <hyperlink ref="L1898" r:id="rId1896" tooltip="🔗 Ver Mapa" display="🔗 Ver Mapa"/>
    <hyperlink ref="L1899" r:id="rId1897" tooltip="🔗 Ver Mapa" display="🔗 Ver Mapa"/>
    <hyperlink ref="L1900" r:id="rId1898" tooltip="🔗 Ver Mapa" display="🔗 Ver Mapa"/>
    <hyperlink ref="L1901" r:id="rId1899" tooltip="🔗 Ver Mapa" display="🔗 Ver Mapa"/>
    <hyperlink ref="L1902" r:id="rId1900" tooltip="🔗 Ver Mapa" display="🔗 Ver Mapa"/>
    <hyperlink ref="L1903" r:id="rId1901" tooltip="🔗 Ver Mapa" display="🔗 Ver Mapa"/>
    <hyperlink ref="L1904" r:id="rId1902" tooltip="🔗 Ver Mapa" display="🔗 Ver Mapa"/>
    <hyperlink ref="L1905" r:id="rId1903" tooltip="🔗 Ver Mapa" display="🔗 Ver Mapa"/>
    <hyperlink ref="L1906" r:id="rId1904" tooltip="🔗 Ver Mapa" display="🔗 Ver Mapa"/>
    <hyperlink ref="L1907" r:id="rId1905" tooltip="🔗 Ver Mapa" display="🔗 Ver Mapa"/>
    <hyperlink ref="L1908" r:id="rId1906" tooltip="🔗 Ver Mapa" display="🔗 Ver Mapa"/>
    <hyperlink ref="L1909" r:id="rId1907" tooltip="🔗 Ver Mapa" display="🔗 Ver Mapa"/>
    <hyperlink ref="L1910" r:id="rId1908" tooltip="🔗 Ver Mapa" display="🔗 Ver Mapa"/>
    <hyperlink ref="L1911" r:id="rId1909" tooltip="🔗 Ver Mapa" display="🔗 Ver Mapa"/>
    <hyperlink ref="L1912" r:id="rId1910" tooltip="🔗 Ver Mapa" display="🔗 Ver Mapa"/>
    <hyperlink ref="L1913" r:id="rId1911" tooltip="🔗 Ver Mapa" display="🔗 Ver Mapa"/>
    <hyperlink ref="L1914" r:id="rId1912" tooltip="🔗 Ver Mapa" display="🔗 Ver Mapa"/>
    <hyperlink ref="L1915" r:id="rId1913" tooltip="🔗 Ver Mapa" display="🔗 Ver Mapa"/>
    <hyperlink ref="L1916" r:id="rId1914" tooltip="🔗 Ver Mapa" display="🔗 Ver Mapa"/>
    <hyperlink ref="L1917" r:id="rId1915" tooltip="🔗 Ver Mapa" display="🔗 Ver Mapa"/>
    <hyperlink ref="L1918" r:id="rId1916" tooltip="🔗 Ver Mapa" display="🔗 Ver Mapa"/>
    <hyperlink ref="L1919" r:id="rId1917" tooltip="🔗 Ver Mapa" display="🔗 Ver Mapa"/>
    <hyperlink ref="L1920" r:id="rId1918" tooltip="🔗 Ver Mapa" display="🔗 Ver Mapa"/>
    <hyperlink ref="L1921" r:id="rId1919" tooltip="🔗 Ver Mapa" display="🔗 Ver Mapa"/>
    <hyperlink ref="L1922" r:id="rId1920" tooltip="🔗 Ver Mapa" display="🔗 Ver Mapa"/>
    <hyperlink ref="L1923" r:id="rId1921" tooltip="🔗 Ver Mapa" display="🔗 Ver Mapa"/>
    <hyperlink ref="L1924" r:id="rId1922" tooltip="🔗 Ver Mapa" display="🔗 Ver Mapa"/>
    <hyperlink ref="L1925" r:id="rId1923" tooltip="🔗 Ver Mapa" display="🔗 Ver Mapa"/>
    <hyperlink ref="L1926" r:id="rId1924" tooltip="🔗 Ver Mapa" display="🔗 Ver Mapa"/>
    <hyperlink ref="L1927" r:id="rId1925" tooltip="🔗 Ver Mapa" display="🔗 Ver Mapa"/>
    <hyperlink ref="L1928" r:id="rId1926" tooltip="🔗 Ver Mapa" display="🔗 Ver Mapa"/>
    <hyperlink ref="L1929" r:id="rId1927" tooltip="🔗 Ver Mapa" display="🔗 Ver Mapa"/>
    <hyperlink ref="L1930" r:id="rId1928" tooltip="🔗 Ver Mapa" display="🔗 Ver Mapa"/>
    <hyperlink ref="L1931" r:id="rId1929" tooltip="🔗 Ver Mapa" display="🔗 Ver Mapa"/>
    <hyperlink ref="L1932" r:id="rId1930" tooltip="🔗 Ver Mapa" display="🔗 Ver Mapa"/>
    <hyperlink ref="L1933" r:id="rId1931" tooltip="🔗 Ver Mapa" display="🔗 Ver Mapa"/>
    <hyperlink ref="L1934" r:id="rId1932" tooltip="🔗 Ver Mapa" display="🔗 Ver Mapa"/>
    <hyperlink ref="L1935" r:id="rId1933" tooltip="🔗 Ver Mapa" display="🔗 Ver Mapa"/>
    <hyperlink ref="L1936" r:id="rId1934" tooltip="🔗 Ver Mapa" display="🔗 Ver Mapa"/>
    <hyperlink ref="L1937" r:id="rId1935" tooltip="🔗 Ver Mapa" display="🔗 Ver Mapa"/>
    <hyperlink ref="L1938" r:id="rId1936" tooltip="🔗 Ver Mapa" display="🔗 Ver Mapa"/>
    <hyperlink ref="L1939" r:id="rId1937" tooltip="🔗 Ver Mapa" display="🔗 Ver Mapa"/>
    <hyperlink ref="L1940" r:id="rId1938" tooltip="🔗 Ver Mapa" display="🔗 Ver Mapa"/>
    <hyperlink ref="L1941" r:id="rId1939" tooltip="🔗 Ver Mapa" display="🔗 Ver Mapa"/>
    <hyperlink ref="L1942" r:id="rId1940" tooltip="🔗 Ver Mapa" display="🔗 Ver Mapa"/>
    <hyperlink ref="L1943" r:id="rId1941" tooltip="🔗 Ver Mapa" display="🔗 Ver Mapa"/>
    <hyperlink ref="L1944" r:id="rId1942" tooltip="🔗 Ver Mapa" display="🔗 Ver Mapa"/>
    <hyperlink ref="L1945" r:id="rId1943" tooltip="🔗 Ver Mapa" display="🔗 Ver Mapa"/>
    <hyperlink ref="L1946" r:id="rId1944" tooltip="🔗 Ver Mapa" display="🔗 Ver Mapa"/>
    <hyperlink ref="L1947" r:id="rId1945" tooltip="🔗 Ver Mapa" display="🔗 Ver Mapa"/>
    <hyperlink ref="L1948" r:id="rId1946" tooltip="🔗 Ver Mapa" display="🔗 Ver Mapa"/>
    <hyperlink ref="L1949" r:id="rId1947" tooltip="🔗 Ver Mapa" display="🔗 Ver Mapa"/>
    <hyperlink ref="L1950" r:id="rId1948" tooltip="🔗 Ver Mapa" display="🔗 Ver Mapa"/>
    <hyperlink ref="L1951" r:id="rId1949" tooltip="🔗 Ver Mapa" display="🔗 Ver Mapa"/>
    <hyperlink ref="L1952" r:id="rId1950" tooltip="🔗 Ver Mapa" display="🔗 Ver Mapa"/>
    <hyperlink ref="L1953" r:id="rId1951" tooltip="🔗 Ver Mapa" display="🔗 Ver Mapa"/>
    <hyperlink ref="L1954" r:id="rId1952" tooltip="🔗 Ver Mapa" display="🔗 Ver Mapa"/>
    <hyperlink ref="L1955" r:id="rId1953" tooltip="🔗 Ver Mapa" display="🔗 Ver Mapa"/>
    <hyperlink ref="L1956" r:id="rId1954" tooltip="🔗 Ver Mapa" display="🔗 Ver Mapa"/>
    <hyperlink ref="L1957" r:id="rId1955" tooltip="🔗 Ver Mapa" display="🔗 Ver Mapa"/>
    <hyperlink ref="L1958" r:id="rId1956" tooltip="🔗 Ver Mapa" display="🔗 Ver Mapa"/>
    <hyperlink ref="L1959" r:id="rId1957" tooltip="🔗 Ver Mapa" display="🔗 Ver Mapa"/>
    <hyperlink ref="L1960" r:id="rId1958" tooltip="🔗 Ver Mapa" display="🔗 Ver Mapa"/>
    <hyperlink ref="L1961" r:id="rId1959" tooltip="🔗 Ver Mapa" display="🔗 Ver Mapa"/>
    <hyperlink ref="L1962" r:id="rId1960" tooltip="🔗 Ver Mapa" display="🔗 Ver Mapa"/>
    <hyperlink ref="L1963" r:id="rId1961" tooltip="🔗 Ver Mapa" display="🔗 Ver Mapa"/>
    <hyperlink ref="L1964" r:id="rId1962" tooltip="🔗 Ver Mapa" display="🔗 Ver Mapa"/>
    <hyperlink ref="L1965" r:id="rId1963" tooltip="🔗 Ver Mapa" display="🔗 Ver Mapa"/>
    <hyperlink ref="L1966" r:id="rId1964" tooltip="🔗 Ver Mapa" display="🔗 Ver Mapa"/>
    <hyperlink ref="L1967" r:id="rId1965" tooltip="🔗 Ver Mapa" display="🔗 Ver Mapa"/>
    <hyperlink ref="L1968" r:id="rId1966" tooltip="🔗 Ver Mapa" display="🔗 Ver Mapa"/>
    <hyperlink ref="L1969" r:id="rId1967" tooltip="🔗 Ver Mapa" display="🔗 Ver Mapa"/>
    <hyperlink ref="L1970" r:id="rId1968" tooltip="🔗 Ver Mapa" display="🔗 Ver Mapa"/>
    <hyperlink ref="L1971" r:id="rId1969" tooltip="🔗 Ver Mapa" display="🔗 Ver Mapa"/>
    <hyperlink ref="L1972" r:id="rId1970" tooltip="🔗 Ver Mapa" display="🔗 Ver Mapa"/>
    <hyperlink ref="L1973" r:id="rId1971" tooltip="🔗 Ver Mapa" display="🔗 Ver Mapa"/>
    <hyperlink ref="L1974" r:id="rId1972" tooltip="🔗 Ver Mapa" display="🔗 Ver Mapa"/>
    <hyperlink ref="L1975" r:id="rId1973" tooltip="🔗 Ver Mapa" display="🔗 Ver Mapa"/>
    <hyperlink ref="L1976" r:id="rId1974" tooltip="🔗 Ver Mapa" display="🔗 Ver Mapa"/>
    <hyperlink ref="L1977" r:id="rId1975" tooltip="🔗 Ver Mapa" display="🔗 Ver Mapa"/>
    <hyperlink ref="L1978" r:id="rId1976" tooltip="🔗 Ver Mapa" display="🔗 Ver Mapa"/>
    <hyperlink ref="L1979" r:id="rId1977" tooltip="🔗 Ver Mapa" display="🔗 Ver Mapa"/>
    <hyperlink ref="L1980" r:id="rId1978" tooltip="🔗 Ver Mapa" display="🔗 Ver Mapa"/>
    <hyperlink ref="L1981" r:id="rId1979" tooltip="🔗 Ver Mapa" display="🔗 Ver Mapa"/>
    <hyperlink ref="L1982" r:id="rId1980" tooltip="🔗 Ver Mapa" display="🔗 Ver Mapa"/>
    <hyperlink ref="L1983" r:id="rId1981" tooltip="🔗 Ver Mapa" display="🔗 Ver Mapa"/>
    <hyperlink ref="L1984" r:id="rId1982" tooltip="🔗 Ver Mapa" display="🔗 Ver Mapa"/>
    <hyperlink ref="L1985" r:id="rId1983" tooltip="🔗 Ver Mapa" display="🔗 Ver Mapa"/>
    <hyperlink ref="L1986" r:id="rId1984" tooltip="🔗 Ver Mapa" display="🔗 Ver Mapa"/>
    <hyperlink ref="L1987" r:id="rId1985" tooltip="🔗 Ver Mapa" display="🔗 Ver Mapa"/>
    <hyperlink ref="L1988" r:id="rId1986" tooltip="🔗 Ver Mapa" display="🔗 Ver Mapa"/>
    <hyperlink ref="L1989" r:id="rId1987" tooltip="🔗 Ver Mapa" display="🔗 Ver Mapa"/>
    <hyperlink ref="L1990" r:id="rId1988" tooltip="🔗 Ver Mapa" display="🔗 Ver Mapa"/>
    <hyperlink ref="L1991" r:id="rId1989" tooltip="🔗 Ver Mapa" display="🔗 Ver Mapa"/>
    <hyperlink ref="L1992" r:id="rId1990" tooltip="🔗 Ver Mapa" display="🔗 Ver Mapa"/>
    <hyperlink ref="L1993" r:id="rId1991" tooltip="🔗 Ver Mapa" display="🔗 Ver Mapa"/>
    <hyperlink ref="L1994" r:id="rId1992" tooltip="🔗 Ver Mapa" display="🔗 Ver Mapa"/>
    <hyperlink ref="L1995" r:id="rId1993" tooltip="🔗 Ver Mapa" display="🔗 Ver Mapa"/>
    <hyperlink ref="L1996" r:id="rId1994" tooltip="🔗 Ver Mapa" display="🔗 Ver Mapa"/>
    <hyperlink ref="L1997" r:id="rId1995" tooltip="🔗 Ver Mapa" display="🔗 Ver Mapa"/>
    <hyperlink ref="L1998" r:id="rId1996" tooltip="🔗 Ver Mapa" display="🔗 Ver Mapa"/>
    <hyperlink ref="L1999" r:id="rId1997" tooltip="🔗 Ver Mapa" display="🔗 Ver Mapa"/>
    <hyperlink ref="L2000" r:id="rId1998" tooltip="🔗 Ver Mapa" display="🔗 Ver Mapa"/>
    <hyperlink ref="L2001" r:id="rId1999" tooltip="🔗 Ver Mapa" display="🔗 Ver Mapa"/>
    <hyperlink ref="L2002" r:id="rId2000" tooltip="🔗 Ver Mapa" display="🔗 Ver Mapa"/>
    <hyperlink ref="L2003" r:id="rId2001" tooltip="🔗 Ver Mapa" display="🔗 Ver Mapa"/>
    <hyperlink ref="L2004" r:id="rId2002" tooltip="🔗 Ver Mapa" display="🔗 Ver Mapa"/>
    <hyperlink ref="L2005" r:id="rId2003" tooltip="🔗 Ver Mapa" display="🔗 Ver Mapa"/>
    <hyperlink ref="L2006" r:id="rId2004" tooltip="🔗 Ver Mapa" display="🔗 Ver Mapa"/>
    <hyperlink ref="L2007" r:id="rId2005" tooltip="🔗 Ver Mapa" display="🔗 Ver Mapa"/>
    <hyperlink ref="L2008" r:id="rId2006" tooltip="🔗 Ver Mapa" display="🔗 Ver Mapa"/>
    <hyperlink ref="L2009" r:id="rId2007" tooltip="🔗 Ver Mapa" display="🔗 Ver Mapa"/>
    <hyperlink ref="L2010" r:id="rId2008" tooltip="🔗 Ver Mapa" display="🔗 Ver Mapa"/>
    <hyperlink ref="L2011" r:id="rId2009" tooltip="🔗 Ver Mapa" display="🔗 Ver Mapa"/>
    <hyperlink ref="L2012" r:id="rId2010" tooltip="🔗 Ver Mapa" display="🔗 Ver Mapa"/>
    <hyperlink ref="L2013" r:id="rId2011" tooltip="🔗 Ver Mapa" display="🔗 Ver Mapa"/>
    <hyperlink ref="L2014" r:id="rId2012" tooltip="🔗 Ver Mapa" display="🔗 Ver Mapa"/>
    <hyperlink ref="L2015" r:id="rId2013" tooltip="🔗 Ver Mapa" display="🔗 Ver Mapa"/>
    <hyperlink ref="L2016" r:id="rId2014" tooltip="🔗 Ver Mapa" display="🔗 Ver Mapa"/>
    <hyperlink ref="L2017" r:id="rId2015" tooltip="🔗 Ver Mapa" display="🔗 Ver Mapa"/>
    <hyperlink ref="L2018" r:id="rId2016" tooltip="🔗 Ver Mapa" display="🔗 Ver Mapa"/>
    <hyperlink ref="L2019" r:id="rId2017" tooltip="🔗 Ver Mapa" display="🔗 Ver Mapa"/>
    <hyperlink ref="L2020" r:id="rId2018" tooltip="🔗 Ver Mapa" display="🔗 Ver Mapa"/>
    <hyperlink ref="L2021" r:id="rId2019" tooltip="🔗 Ver Mapa" display="🔗 Ver Mapa"/>
    <hyperlink ref="L2022" r:id="rId2020" tooltip="🔗 Ver Mapa" display="🔗 Ver Mapa"/>
    <hyperlink ref="L2023" r:id="rId2021" tooltip="🔗 Ver Mapa" display="🔗 Ver Mapa"/>
    <hyperlink ref="L2024" r:id="rId2022" tooltip="🔗 Ver Mapa" display="🔗 Ver Mapa"/>
    <hyperlink ref="L2025" r:id="rId2023" tooltip="🔗 Ver Mapa" display="🔗 Ver Mapa"/>
    <hyperlink ref="L2026" r:id="rId2024" tooltip="🔗 Ver Mapa" display="🔗 Ver Mapa"/>
    <hyperlink ref="L2027" r:id="rId2025" tooltip="🔗 Ver Mapa" display="🔗 Ver Mapa"/>
    <hyperlink ref="L2028" r:id="rId2026" tooltip="🔗 Ver Mapa" display="🔗 Ver Mapa"/>
    <hyperlink ref="L2029" r:id="rId2027" tooltip="🔗 Ver Mapa" display="🔗 Ver Mapa"/>
    <hyperlink ref="L2030" r:id="rId2028" tooltip="🔗 Ver Mapa" display="🔗 Ver Mapa"/>
    <hyperlink ref="L2031" r:id="rId2029" tooltip="🔗 Ver Mapa" display="🔗 Ver Mapa"/>
    <hyperlink ref="L2032" r:id="rId2030" tooltip="🔗 Ver Mapa" display="🔗 Ver Mapa"/>
    <hyperlink ref="L2033" r:id="rId2031" tooltip="🔗 Ver Mapa" display="🔗 Ver Mapa"/>
    <hyperlink ref="L2034" r:id="rId2032" tooltip="🔗 Ver Mapa" display="🔗 Ver Mapa"/>
    <hyperlink ref="L2035" r:id="rId2033" tooltip="🔗 Ver Mapa" display="🔗 Ver Mapa"/>
    <hyperlink ref="L2036" r:id="rId2034" tooltip="🔗 Ver Mapa" display="🔗 Ver Mapa"/>
    <hyperlink ref="L2037" r:id="rId2035" tooltip="🔗 Ver Mapa" display="🔗 Ver Mapa"/>
    <hyperlink ref="L2038" r:id="rId2036" tooltip="🔗 Ver Mapa" display="🔗 Ver Mapa"/>
    <hyperlink ref="L2039" r:id="rId2037" tooltip="🔗 Ver Mapa" display="🔗 Ver Mapa"/>
    <hyperlink ref="L2040" r:id="rId2038" tooltip="🔗 Ver Mapa" display="🔗 Ver Mapa"/>
    <hyperlink ref="L2041" r:id="rId2039" tooltip="🔗 Ver Mapa" display="🔗 Ver Mapa"/>
    <hyperlink ref="L2042" r:id="rId2040" tooltip="🔗 Ver Mapa" display="🔗 Ver Mapa"/>
    <hyperlink ref="L2043" r:id="rId2041" tooltip="🔗 Ver Mapa" display="🔗 Ver Mapa"/>
    <hyperlink ref="L2044" r:id="rId2042" tooltip="🔗 Ver Mapa" display="🔗 Ver Mapa"/>
    <hyperlink ref="L2045" r:id="rId2043" tooltip="🔗 Ver Mapa" display="🔗 Ver Mapa"/>
    <hyperlink ref="L2046" r:id="rId2044" tooltip="🔗 Ver Mapa" display="🔗 Ver Mapa"/>
    <hyperlink ref="L2047" r:id="rId2045" tooltip="🔗 Ver Mapa" display="🔗 Ver Mapa"/>
    <hyperlink ref="L2048" r:id="rId2046" tooltip="🔗 Ver Mapa" display="🔗 Ver Mapa"/>
    <hyperlink ref="L2049" r:id="rId2047" tooltip="🔗 Ver Mapa" display="🔗 Ver Mapa"/>
    <hyperlink ref="L2050" r:id="rId2048" tooltip="🔗 Ver Mapa" display="🔗 Ver Mapa"/>
    <hyperlink ref="L2051" r:id="rId2049" tooltip="🔗 Ver Mapa" display="🔗 Ver Mapa"/>
    <hyperlink ref="L2052" r:id="rId2050" tooltip="🔗 Ver Mapa" display="🔗 Ver Mapa"/>
    <hyperlink ref="L2053" r:id="rId2051" tooltip="🔗 Ver Mapa" display="🔗 Ver Mapa"/>
    <hyperlink ref="L2054" r:id="rId2052" tooltip="🔗 Ver Mapa" display="🔗 Ver Mapa"/>
    <hyperlink ref="L2055" r:id="rId2053" tooltip="🔗 Ver Mapa" display="🔗 Ver Mapa"/>
    <hyperlink ref="L2056" r:id="rId2054" tooltip="🔗 Ver Mapa" display="🔗 Ver Mapa"/>
    <hyperlink ref="L2057" r:id="rId2055" tooltip="🔗 Ver Mapa" display="🔗 Ver Mapa"/>
    <hyperlink ref="L2058" r:id="rId2056" tooltip="🔗 Ver Mapa" display="🔗 Ver Mapa"/>
    <hyperlink ref="L2059" r:id="rId2057" tooltip="🔗 Ver Mapa" display="🔗 Ver Mapa"/>
    <hyperlink ref="L2060" r:id="rId2058" tooltip="🔗 Ver Mapa" display="🔗 Ver Mapa"/>
    <hyperlink ref="L2061" r:id="rId2059" tooltip="🔗 Ver Mapa" display="🔗 Ver Mapa"/>
    <hyperlink ref="L2062" r:id="rId2060" tooltip="🔗 Ver Mapa" display="🔗 Ver Mapa"/>
    <hyperlink ref="L2063" r:id="rId2061" tooltip="🔗 Ver Mapa" display="🔗 Ver Mapa"/>
    <hyperlink ref="L2064" r:id="rId2062" tooltip="🔗 Ver Mapa" display="🔗 Ver Mapa"/>
    <hyperlink ref="L2065" r:id="rId2063" tooltip="🔗 Ver Mapa" display="🔗 Ver Mapa"/>
    <hyperlink ref="L2066" r:id="rId2064" tooltip="🔗 Ver Mapa" display="🔗 Ver Mapa"/>
    <hyperlink ref="L2067" r:id="rId2065" tooltip="🔗 Ver Mapa" display="🔗 Ver Mapa"/>
    <hyperlink ref="L2068" r:id="rId2066" tooltip="🔗 Ver Mapa" display="🔗 Ver Mapa"/>
    <hyperlink ref="L2069" r:id="rId2067" tooltip="🔗 Ver Mapa" display="🔗 Ver Mapa"/>
    <hyperlink ref="L2070" r:id="rId2068" tooltip="🔗 Ver Mapa" display="🔗 Ver Mapa"/>
    <hyperlink ref="L2071" r:id="rId2069" tooltip="🔗 Ver Mapa" display="🔗 Ver Mapa"/>
    <hyperlink ref="L2072" r:id="rId2070" tooltip="🔗 Ver Mapa" display="🔗 Ver Mapa"/>
    <hyperlink ref="L2073" r:id="rId2071" tooltip="🔗 Ver Mapa" display="🔗 Ver Mapa"/>
    <hyperlink ref="L2074" r:id="rId2072" tooltip="🔗 Ver Mapa" display="🔗 Ver Mapa"/>
    <hyperlink ref="L2075" r:id="rId2073" tooltip="🔗 Ver Mapa" display="🔗 Ver Mapa"/>
    <hyperlink ref="L2076" r:id="rId2074" tooltip="🔗 Ver Mapa" display="🔗 Ver Mapa"/>
    <hyperlink ref="L2077" r:id="rId2075" tooltip="🔗 Ver Mapa" display="🔗 Ver Mapa"/>
    <hyperlink ref="L2078" r:id="rId2076" tooltip="🔗 Ver Mapa" display="🔗 Ver Mapa"/>
    <hyperlink ref="L2079" r:id="rId2077" tooltip="🔗 Ver Mapa" display="🔗 Ver Mapa"/>
    <hyperlink ref="L2080" r:id="rId2078" tooltip="🔗 Ver Mapa" display="🔗 Ver Mapa"/>
    <hyperlink ref="L2081" r:id="rId2079" tooltip="🔗 Ver Mapa" display="🔗 Ver Mapa"/>
    <hyperlink ref="L2082" r:id="rId2080" tooltip="🔗 Ver Mapa" display="🔗 Ver Mapa"/>
    <hyperlink ref="L2083" r:id="rId2081" tooltip="🔗 Ver Mapa" display="🔗 Ver Mapa"/>
    <hyperlink ref="L2084" r:id="rId2082" tooltip="🔗 Ver Mapa" display="🔗 Ver Mapa"/>
    <hyperlink ref="L2085" r:id="rId2083" tooltip="🔗 Ver Mapa" display="🔗 Ver Mapa"/>
    <hyperlink ref="L2086" r:id="rId2084" tooltip="🔗 Ver Mapa" display="🔗 Ver Mapa"/>
    <hyperlink ref="L2087" r:id="rId2085" tooltip="🔗 Ver Mapa" display="🔗 Ver Mapa"/>
    <hyperlink ref="L2088" r:id="rId2086" tooltip="🔗 Ver Mapa" display="🔗 Ver Mapa"/>
    <hyperlink ref="L2089" r:id="rId2087" tooltip="🔗 Ver Mapa" display="🔗 Ver Mapa"/>
    <hyperlink ref="L2090" r:id="rId2088" tooltip="🔗 Ver Mapa" display="🔗 Ver Mapa"/>
    <hyperlink ref="L2091" r:id="rId2089" tooltip="🔗 Ver Mapa" display="🔗 Ver Mapa"/>
    <hyperlink ref="L2092" r:id="rId2090" tooltip="🔗 Ver Mapa" display="🔗 Ver Mapa"/>
    <hyperlink ref="L2093" r:id="rId2091" tooltip="🔗 Ver Mapa" display="🔗 Ver Mapa"/>
    <hyperlink ref="L2094" r:id="rId2092" tooltip="🔗 Ver Mapa" display="🔗 Ver Mapa"/>
    <hyperlink ref="L2095" r:id="rId2093" tooltip="🔗 Ver Mapa" display="🔗 Ver Mapa"/>
    <hyperlink ref="L2096" r:id="rId2094" tooltip="🔗 Ver Mapa" display="🔗 Ver Mapa"/>
    <hyperlink ref="L2097" r:id="rId2095" tooltip="🔗 Ver Mapa" display="🔗 Ver Mapa"/>
    <hyperlink ref="L2098" r:id="rId2096" tooltip="🔗 Ver Mapa" display="🔗 Ver Mapa"/>
    <hyperlink ref="L2099" r:id="rId2097" tooltip="🔗 Ver Mapa" display="🔗 Ver Mapa"/>
    <hyperlink ref="L2100" r:id="rId2098" tooltip="🔗 Ver Mapa" display="🔗 Ver Mapa"/>
    <hyperlink ref="L2101" r:id="rId2099" tooltip="🔗 Ver Mapa" display="🔗 Ver Mapa"/>
    <hyperlink ref="L2102" r:id="rId2100" tooltip="🔗 Ver Mapa" display="🔗 Ver Mapa"/>
    <hyperlink ref="L2103" r:id="rId2101" tooltip="🔗 Ver Mapa" display="🔗 Ver Mapa"/>
    <hyperlink ref="L2104" r:id="rId2102" tooltip="🔗 Ver Mapa" display="🔗 Ver Mapa"/>
    <hyperlink ref="L2105" r:id="rId2103" tooltip="🔗 Ver Mapa" display="🔗 Ver Mapa"/>
    <hyperlink ref="L2106" r:id="rId2104" tooltip="🔗 Ver Mapa" display="🔗 Ver Mapa"/>
    <hyperlink ref="L2107" r:id="rId2105" tooltip="🔗 Ver Mapa" display="🔗 Ver Mapa"/>
    <hyperlink ref="L2108" r:id="rId2106" tooltip="🔗 Ver Mapa" display="🔗 Ver Mapa"/>
    <hyperlink ref="L2109" r:id="rId2107" tooltip="🔗 Ver Mapa" display="🔗 Ver Mapa"/>
    <hyperlink ref="L2110" r:id="rId2108" tooltip="🔗 Ver Mapa" display="🔗 Ver Mapa"/>
    <hyperlink ref="L2111" r:id="rId2109" tooltip="🔗 Ver Mapa" display="🔗 Ver Mapa"/>
    <hyperlink ref="L2112" r:id="rId2110" tooltip="🔗 Ver Mapa" display="🔗 Ver Mapa"/>
    <hyperlink ref="L2113" r:id="rId2111" tooltip="🔗 Ver Mapa" display="🔗 Ver Mapa"/>
    <hyperlink ref="L2114" r:id="rId2112" tooltip="🔗 Ver Mapa" display="🔗 Ver Mapa"/>
    <hyperlink ref="L2115" r:id="rId2113" tooltip="🔗 Ver Mapa" display="🔗 Ver Mapa"/>
    <hyperlink ref="L2116" r:id="rId2114" tooltip="🔗 Ver Mapa" display="🔗 Ver Mapa"/>
    <hyperlink ref="L2117" r:id="rId2115" tooltip="🔗 Ver Mapa" display="🔗 Ver Mapa"/>
    <hyperlink ref="L2118" r:id="rId2116" tooltip="🔗 Ver Mapa" display="🔗 Ver Mapa"/>
    <hyperlink ref="L2119" r:id="rId2117" tooltip="🔗 Ver Mapa" display="🔗 Ver Mapa"/>
    <hyperlink ref="L2120" r:id="rId2118" tooltip="🔗 Ver Mapa" display="🔗 Ver Mapa"/>
    <hyperlink ref="L2121" r:id="rId2119" tooltip="🔗 Ver Mapa" display="🔗 Ver Mapa"/>
    <hyperlink ref="L2122" r:id="rId2120" tooltip="🔗 Ver Mapa" display="🔗 Ver Mapa"/>
    <hyperlink ref="L2123" r:id="rId2121" tooltip="🔗 Ver Mapa" display="🔗 Ver Mapa"/>
    <hyperlink ref="L2124" r:id="rId2122" tooltip="🔗 Ver Mapa" display="🔗 Ver Mapa"/>
    <hyperlink ref="L2125" r:id="rId2123" tooltip="🔗 Ver Mapa" display="🔗 Ver Mapa"/>
    <hyperlink ref="L2126" r:id="rId2124" tooltip="🔗 Ver Mapa" display="🔗 Ver Mapa"/>
    <hyperlink ref="L2127" r:id="rId2125" tooltip="🔗 Ver Mapa" display="🔗 Ver Mapa"/>
    <hyperlink ref="L2128" r:id="rId2126" tooltip="🔗 Ver Mapa" display="🔗 Ver Mapa"/>
    <hyperlink ref="L2129" r:id="rId2127" tooltip="🔗 Ver Mapa" display="🔗 Ver Mapa"/>
    <hyperlink ref="L2130" r:id="rId2128" tooltip="🔗 Ver Mapa" display="🔗 Ver Mapa"/>
    <hyperlink ref="L2131" r:id="rId2129" tooltip="🔗 Ver Mapa" display="🔗 Ver Mapa"/>
    <hyperlink ref="L2132" r:id="rId2130" tooltip="🔗 Ver Mapa" display="🔗 Ver Mapa"/>
    <hyperlink ref="L2133" r:id="rId2131" tooltip="🔗 Ver Mapa" display="🔗 Ver Mapa"/>
    <hyperlink ref="L2134" r:id="rId2132" tooltip="🔗 Ver Mapa" display="🔗 Ver Mapa"/>
    <hyperlink ref="L2135" r:id="rId2133" tooltip="🔗 Ver Mapa" display="🔗 Ver Mapa"/>
    <hyperlink ref="L2136" r:id="rId2134" tooltip="🔗 Ver Mapa" display="🔗 Ver Mapa"/>
    <hyperlink ref="L2137" r:id="rId2135" tooltip="🔗 Ver Mapa" display="🔗 Ver Mapa"/>
    <hyperlink ref="L2138" r:id="rId2136" tooltip="🔗 Ver Mapa" display="🔗 Ver Mapa"/>
    <hyperlink ref="L2139" r:id="rId2137" tooltip="🔗 Ver Mapa" display="🔗 Ver Mapa"/>
    <hyperlink ref="L2140" r:id="rId2138" tooltip="🔗 Ver Mapa" display="🔗 Ver Mapa"/>
    <hyperlink ref="L2141" r:id="rId2139" tooltip="🔗 Ver Mapa" display="🔗 Ver Mapa"/>
    <hyperlink ref="L2142" r:id="rId2140" tooltip="🔗 Ver Mapa" display="🔗 Ver Mapa"/>
    <hyperlink ref="L2143" r:id="rId2141" tooltip="🔗 Ver Mapa" display="🔗 Ver Mapa"/>
    <hyperlink ref="L2144" r:id="rId2142" tooltip="🔗 Ver Mapa" display="🔗 Ver Mapa"/>
    <hyperlink ref="L2145" r:id="rId2143" tooltip="🔗 Ver Mapa" display="🔗 Ver Mapa"/>
    <hyperlink ref="L2146" r:id="rId2144" tooltip="🔗 Ver Mapa" display="🔗 Ver Mapa"/>
    <hyperlink ref="L2147" r:id="rId2145" tooltip="🔗 Ver Mapa" display="🔗 Ver Mapa"/>
    <hyperlink ref="L2148" r:id="rId2146" tooltip="🔗 Ver Mapa" display="🔗 Ver Mapa"/>
    <hyperlink ref="L2149" r:id="rId2147" tooltip="🔗 Ver Mapa" display="🔗 Ver Mapa"/>
    <hyperlink ref="L2150" r:id="rId2148" tooltip="🔗 Ver Mapa" display="🔗 Ver Mapa"/>
    <hyperlink ref="L2151" r:id="rId2149" tooltip="🔗 Ver Mapa" display="🔗 Ver Mapa"/>
    <hyperlink ref="L2152" r:id="rId2150" tooltip="🔗 Ver Mapa" display="🔗 Ver Mapa"/>
    <hyperlink ref="L2153" r:id="rId2151" tooltip="🔗 Ver Mapa" display="🔗 Ver Mapa"/>
    <hyperlink ref="L2154" r:id="rId2152" tooltip="🔗 Ver Mapa" display="🔗 Ver Mapa"/>
    <hyperlink ref="L2155" r:id="rId2153" tooltip="🔗 Ver Mapa" display="🔗 Ver Mapa"/>
    <hyperlink ref="L2156" r:id="rId2154" tooltip="🔗 Ver Mapa" display="🔗 Ver Mapa"/>
    <hyperlink ref="L2157" r:id="rId2155" tooltip="🔗 Ver Mapa" display="🔗 Ver Mapa"/>
    <hyperlink ref="L2158" r:id="rId2156" tooltip="🔗 Ver Mapa" display="🔗 Ver Mapa"/>
    <hyperlink ref="L2159" r:id="rId2157" tooltip="🔗 Ver Mapa" display="🔗 Ver Mapa"/>
    <hyperlink ref="L2160" r:id="rId2158" tooltip="🔗 Ver Mapa" display="🔗 Ver Mapa"/>
    <hyperlink ref="L2161" r:id="rId2159" tooltip="🔗 Ver Mapa" display="🔗 Ver Mapa"/>
    <hyperlink ref="L2162" r:id="rId2160" tooltip="🔗 Ver Mapa" display="🔗 Ver Mapa"/>
    <hyperlink ref="L2163" r:id="rId2161" tooltip="🔗 Ver Mapa" display="🔗 Ver Mapa"/>
    <hyperlink ref="L2164" r:id="rId2162" tooltip="🔗 Ver Mapa" display="🔗 Ver Mapa"/>
    <hyperlink ref="L2165" r:id="rId2163" tooltip="🔗 Ver Mapa" display="🔗 Ver Mapa"/>
    <hyperlink ref="L2166" r:id="rId2164" tooltip="🔗 Ver Mapa" display="🔗 Ver Mapa"/>
    <hyperlink ref="L2167" r:id="rId2165" tooltip="🔗 Ver Mapa" display="🔗 Ver Mapa"/>
    <hyperlink ref="L2168" r:id="rId2166" tooltip="🔗 Ver Mapa" display="🔗 Ver Mapa"/>
    <hyperlink ref="L2169" r:id="rId2167" tooltip="🔗 Ver Mapa" display="🔗 Ver Mapa"/>
    <hyperlink ref="L2170" r:id="rId2168" tooltip="🔗 Ver Mapa" display="🔗 Ver Mapa"/>
    <hyperlink ref="L2171" r:id="rId2169" tooltip="🔗 Ver Mapa" display="🔗 Ver Mapa"/>
    <hyperlink ref="L2172" r:id="rId2170" tooltip="🔗 Ver Mapa" display="🔗 Ver Mapa"/>
    <hyperlink ref="L2173" r:id="rId2171" tooltip="🔗 Ver Mapa" display="🔗 Ver Mapa"/>
    <hyperlink ref="L2174" r:id="rId2172" tooltip="🔗 Ver Mapa" display="🔗 Ver Mapa"/>
    <hyperlink ref="L2175" r:id="rId2173" tooltip="🔗 Ver Mapa" display="🔗 Ver Mapa"/>
    <hyperlink ref="L2176" r:id="rId2174" tooltip="🔗 Ver Mapa" display="🔗 Ver Mapa"/>
    <hyperlink ref="L2177" r:id="rId2175" tooltip="🔗 Ver Mapa" display="🔗 Ver Mapa"/>
    <hyperlink ref="L2178" r:id="rId2176" tooltip="🔗 Ver Mapa" display="🔗 Ver Mapa"/>
    <hyperlink ref="L2179" r:id="rId2177" tooltip="🔗 Ver Mapa" display="🔗 Ver Mapa"/>
    <hyperlink ref="L2180" r:id="rId2178" tooltip="🔗 Ver Mapa" display="🔗 Ver Mapa"/>
    <hyperlink ref="L2181" r:id="rId2179" tooltip="🔗 Ver Mapa" display="🔗 Ver Mapa"/>
    <hyperlink ref="L2182" r:id="rId2180" tooltip="🔗 Ver Mapa" display="🔗 Ver Mapa"/>
    <hyperlink ref="L2183" r:id="rId2181" tooltip="🔗 Ver Mapa" display="🔗 Ver Mapa"/>
    <hyperlink ref="L2184" r:id="rId2182" tooltip="🔗 Ver Mapa" display="🔗 Ver Mapa"/>
    <hyperlink ref="L2185" r:id="rId2183" tooltip="🔗 Ver Mapa" display="🔗 Ver Mapa"/>
    <hyperlink ref="L2186" r:id="rId2184" tooltip="🔗 Ver Mapa" display="🔗 Ver Mapa"/>
    <hyperlink ref="L2187" r:id="rId2185" tooltip="🔗 Ver Mapa" display="🔗 Ver Mapa"/>
    <hyperlink ref="L2188" r:id="rId2186" tooltip="🔗 Ver Mapa" display="🔗 Ver Mapa"/>
    <hyperlink ref="L2189" r:id="rId2187" tooltip="🔗 Ver Mapa" display="🔗 Ver Mapa"/>
    <hyperlink ref="L2190" r:id="rId2188" tooltip="🔗 Ver Mapa" display="🔗 Ver Mapa"/>
    <hyperlink ref="L2191" r:id="rId2189" tooltip="🔗 Ver Mapa" display="🔗 Ver Mapa"/>
    <hyperlink ref="L2192" r:id="rId2190" tooltip="🔗 Ver Mapa" display="🔗 Ver Mapa"/>
    <hyperlink ref="L2193" r:id="rId2191" tooltip="🔗 Ver Mapa" display="🔗 Ver Mapa"/>
    <hyperlink ref="L2194" r:id="rId2192" tooltip="🔗 Ver Mapa" display="🔗 Ver Mapa"/>
    <hyperlink ref="L2195" r:id="rId2193" tooltip="🔗 Ver Mapa" display="🔗 Ver Mapa"/>
    <hyperlink ref="L2196" r:id="rId2194" tooltip="🔗 Ver Mapa" display="🔗 Ver Mapa"/>
    <hyperlink ref="L2197" r:id="rId2195" tooltip="🔗 Ver Mapa" display="🔗 Ver Mapa"/>
    <hyperlink ref="L2198" r:id="rId2196" tooltip="🔗 Ver Mapa" display="🔗 Ver Mapa"/>
    <hyperlink ref="L2199" r:id="rId2197" tooltip="🔗 Ver Mapa" display="🔗 Ver Mapa"/>
    <hyperlink ref="L2200" r:id="rId2198" tooltip="🔗 Ver Mapa" display="🔗 Ver Mapa"/>
    <hyperlink ref="L2201" r:id="rId2199" tooltip="🔗 Ver Mapa" display="🔗 Ver Mapa"/>
    <hyperlink ref="L2202" r:id="rId2200" tooltip="🔗 Ver Mapa" display="🔗 Ver Mapa"/>
    <hyperlink ref="L2203" r:id="rId2201" tooltip="🔗 Ver Mapa" display="🔗 Ver Mapa"/>
    <hyperlink ref="L2204" r:id="rId2202" tooltip="🔗 Ver Mapa" display="🔗 Ver Mapa"/>
    <hyperlink ref="L2205" r:id="rId2203" tooltip="🔗 Ver Mapa" display="🔗 Ver Mapa"/>
    <hyperlink ref="L2206" r:id="rId2204" tooltip="🔗 Ver Mapa" display="🔗 Ver Mapa"/>
    <hyperlink ref="L2207" r:id="rId2205" tooltip="🔗 Ver Mapa" display="🔗 Ver Mapa"/>
    <hyperlink ref="L2208" r:id="rId2206" tooltip="🔗 Ver Mapa" display="🔗 Ver Mapa"/>
    <hyperlink ref="L2209" r:id="rId2207" tooltip="🔗 Ver Mapa" display="🔗 Ver Mapa"/>
    <hyperlink ref="L2210" r:id="rId2208" tooltip="🔗 Ver Mapa" display="🔗 Ver Mapa"/>
    <hyperlink ref="L2211" r:id="rId2209" tooltip="🔗 Ver Mapa" display="🔗 Ver Mapa"/>
    <hyperlink ref="L2212" r:id="rId2210" tooltip="🔗 Ver Mapa" display="🔗 Ver Mapa"/>
    <hyperlink ref="L2213" r:id="rId2211" tooltip="🔗 Ver Mapa" display="🔗 Ver Mapa"/>
    <hyperlink ref="L2214" r:id="rId2212" tooltip="🔗 Ver Mapa" display="🔗 Ver Mapa"/>
    <hyperlink ref="L2215" r:id="rId2213" tooltip="🔗 Ver Mapa" display="🔗 Ver Mapa"/>
    <hyperlink ref="L2216" r:id="rId2214" tooltip="🔗 Ver Mapa" display="🔗 Ver Mapa"/>
    <hyperlink ref="L2217" r:id="rId2215" tooltip="🔗 Ver Mapa" display="🔗 Ver Mapa"/>
    <hyperlink ref="L2218" r:id="rId2216" tooltip="🔗 Ver Mapa" display="🔗 Ver Mapa"/>
    <hyperlink ref="L2219" r:id="rId2217" tooltip="🔗 Ver Mapa" display="🔗 Ver Mapa"/>
    <hyperlink ref="L2220" r:id="rId2218" tooltip="🔗 Ver Mapa" display="🔗 Ver Mapa"/>
    <hyperlink ref="L2221" r:id="rId2219" tooltip="🔗 Ver Mapa" display="🔗 Ver Mapa"/>
    <hyperlink ref="L2222" r:id="rId2220" tooltip="🔗 Ver Mapa" display="🔗 Ver Mapa"/>
    <hyperlink ref="L2223" r:id="rId2221" tooltip="🔗 Ver Mapa" display="🔗 Ver Mapa"/>
    <hyperlink ref="L2224" r:id="rId2222" tooltip="🔗 Ver Mapa" display="🔗 Ver Mapa"/>
    <hyperlink ref="L2225" r:id="rId2223" tooltip="🔗 Ver Mapa" display="🔗 Ver Mapa"/>
    <hyperlink ref="L2226" r:id="rId2224" tooltip="🔗 Ver Mapa" display="🔗 Ver Mapa"/>
    <hyperlink ref="L2227" r:id="rId2225" tooltip="🔗 Ver Mapa" display="🔗 Ver Mapa"/>
    <hyperlink ref="L2228" r:id="rId2226" tooltip="🔗 Ver Mapa" display="🔗 Ver Mapa"/>
    <hyperlink ref="L2229" r:id="rId2227" tooltip="🔗 Ver Mapa" display="🔗 Ver Mapa"/>
    <hyperlink ref="L2230" r:id="rId2228" tooltip="🔗 Ver Mapa" display="🔗 Ver Mapa"/>
    <hyperlink ref="L2231" r:id="rId2229" tooltip="🔗 Ver Mapa" display="🔗 Ver Mapa"/>
    <hyperlink ref="L2232" r:id="rId2230" tooltip="🔗 Ver Mapa" display="🔗 Ver Mapa"/>
    <hyperlink ref="L2233" r:id="rId2231" tooltip="🔗 Ver Mapa" display="🔗 Ver Mapa"/>
    <hyperlink ref="L2234" r:id="rId2232" tooltip="🔗 Ver Mapa" display="🔗 Ver Mapa"/>
    <hyperlink ref="L2235" r:id="rId2233" tooltip="🔗 Ver Mapa" display="🔗 Ver Mapa"/>
    <hyperlink ref="L2236" r:id="rId2234" tooltip="🔗 Ver Mapa" display="🔗 Ver Mapa"/>
    <hyperlink ref="L2237" r:id="rId2235" tooltip="🔗 Ver Mapa" display="🔗 Ver Mapa"/>
    <hyperlink ref="L2238" r:id="rId2236" tooltip="🔗 Ver Mapa" display="🔗 Ver Mapa"/>
    <hyperlink ref="L2239" r:id="rId2237" tooltip="🔗 Ver Mapa" display="🔗 Ver Mapa"/>
    <hyperlink ref="L2240" r:id="rId2238" tooltip="🔗 Ver Mapa" display="🔗 Ver Mapa"/>
    <hyperlink ref="L2241" r:id="rId2239" tooltip="🔗 Ver Mapa" display="🔗 Ver Mapa"/>
    <hyperlink ref="L2242" r:id="rId2240" tooltip="🔗 Ver Mapa" display="🔗 Ver Mapa"/>
    <hyperlink ref="L2243" r:id="rId2241" tooltip="🔗 Ver Mapa" display="🔗 Ver Mapa"/>
    <hyperlink ref="L2244" r:id="rId2242" tooltip="🔗 Ver Mapa" display="🔗 Ver Mapa"/>
    <hyperlink ref="L2245" r:id="rId2243" tooltip="🔗 Ver Mapa" display="🔗 Ver Mapa"/>
    <hyperlink ref="L2246" r:id="rId2244" tooltip="🔗 Ver Mapa" display="🔗 Ver Mapa"/>
    <hyperlink ref="L2247" r:id="rId2245" tooltip="🔗 Ver Mapa" display="🔗 Ver Mapa"/>
    <hyperlink ref="L2248" r:id="rId2246" tooltip="🔗 Ver Mapa" display="🔗 Ver Mapa"/>
    <hyperlink ref="L2249" r:id="rId2247" tooltip="🔗 Ver Mapa" display="🔗 Ver Mapa"/>
    <hyperlink ref="L2250" r:id="rId2248" tooltip="🔗 Ver Mapa" display="🔗 Ver Mapa"/>
    <hyperlink ref="L2251" r:id="rId2249" tooltip="🔗 Ver Mapa" display="🔗 Ver Mapa"/>
    <hyperlink ref="L2252" r:id="rId2250" tooltip="🔗 Ver Mapa" display="🔗 Ver Mapa"/>
    <hyperlink ref="L2253" r:id="rId2251" tooltip="🔗 Ver Mapa" display="🔗 Ver Mapa"/>
    <hyperlink ref="L2254" r:id="rId2252" tooltip="🔗 Ver Mapa" display="🔗 Ver Mapa"/>
    <hyperlink ref="L2255" r:id="rId2253" tooltip="🔗 Ver Mapa" display="🔗 Ver Mapa"/>
    <hyperlink ref="L2256" r:id="rId2254" tooltip="🔗 Ver Mapa" display="🔗 Ver Mapa"/>
    <hyperlink ref="L2257" r:id="rId2255" tooltip="🔗 Ver Mapa" display="🔗 Ver Mapa"/>
    <hyperlink ref="L2258" r:id="rId2256" tooltip="🔗 Ver Mapa" display="🔗 Ver Mapa"/>
    <hyperlink ref="L2259" r:id="rId2257" tooltip="🔗 Ver Mapa" display="🔗 Ver Mapa"/>
    <hyperlink ref="L2260" r:id="rId2258" tooltip="🔗 Ver Mapa" display="🔗 Ver Mapa"/>
    <hyperlink ref="L2261" r:id="rId2259" tooltip="🔗 Ver Mapa" display="🔗 Ver Mapa"/>
    <hyperlink ref="L2262" r:id="rId2260" tooltip="🔗 Ver Mapa" display="🔗 Ver Mapa"/>
    <hyperlink ref="L2263" r:id="rId2261" tooltip="🔗 Ver Mapa" display="🔗 Ver Mapa"/>
    <hyperlink ref="L2264" r:id="rId2262" tooltip="🔗 Ver Mapa" display="🔗 Ver Mapa"/>
    <hyperlink ref="L2265" r:id="rId2263" tooltip="🔗 Ver Mapa" display="🔗 Ver Mapa"/>
    <hyperlink ref="L2266" r:id="rId2264" tooltip="🔗 Ver Mapa" display="🔗 Ver Mapa"/>
    <hyperlink ref="L2267" r:id="rId2265" tooltip="🔗 Ver Mapa" display="🔗 Ver Mapa"/>
    <hyperlink ref="L2268" r:id="rId2266" tooltip="🔗 Ver Mapa" display="🔗 Ver Mapa"/>
    <hyperlink ref="L2269" r:id="rId2267" tooltip="🔗 Ver Mapa" display="🔗 Ver Mapa"/>
    <hyperlink ref="L2270" r:id="rId2268" tooltip="🔗 Ver Mapa" display="🔗 Ver Mapa"/>
    <hyperlink ref="L2271" r:id="rId2269" tooltip="🔗 Ver Mapa" display="🔗 Ver Mapa"/>
    <hyperlink ref="L2272" r:id="rId2270" tooltip="🔗 Ver Mapa" display="🔗 Ver Mapa"/>
    <hyperlink ref="L2273" r:id="rId2271" tooltip="🔗 Ver Mapa" display="🔗 Ver Mapa"/>
    <hyperlink ref="L2274" r:id="rId2272" tooltip="🔗 Ver Mapa" display="🔗 Ver Mapa"/>
    <hyperlink ref="L2275" r:id="rId2273" tooltip="🔗 Ver Mapa" display="🔗 Ver Mapa"/>
    <hyperlink ref="L2276" r:id="rId2274" tooltip="🔗 Ver Mapa" display="🔗 Ver Mapa"/>
    <hyperlink ref="L2277" r:id="rId2275" tooltip="🔗 Ver Mapa" display="🔗 Ver Mapa"/>
    <hyperlink ref="L2278" r:id="rId2276" tooltip="🔗 Ver Mapa" display="🔗 Ver Mapa"/>
    <hyperlink ref="L2279" r:id="rId2277" tooltip="🔗 Ver Mapa" display="🔗 Ver Mapa"/>
    <hyperlink ref="L2280" r:id="rId2278" tooltip="🔗 Ver Mapa" display="🔗 Ver Mapa"/>
    <hyperlink ref="L2281" r:id="rId2279" tooltip="🔗 Ver Mapa" display="🔗 Ver Mapa"/>
    <hyperlink ref="L2282" r:id="rId2280" tooltip="🔗 Ver Mapa" display="🔗 Ver Mapa"/>
    <hyperlink ref="L2283" r:id="rId2281" tooltip="🔗 Ver Mapa" display="🔗 Ver Mapa"/>
    <hyperlink ref="L2284" r:id="rId2282" tooltip="🔗 Ver Mapa" display="🔗 Ver Mapa"/>
    <hyperlink ref="L2285" r:id="rId2283" tooltip="🔗 Ver Mapa" display="🔗 Ver Mapa"/>
    <hyperlink ref="L2286" r:id="rId2284" tooltip="🔗 Ver Mapa" display="🔗 Ver Mapa"/>
    <hyperlink ref="L2287" r:id="rId2285" tooltip="🔗 Ver Mapa" display="🔗 Ver Mapa"/>
    <hyperlink ref="L2288" r:id="rId2286" tooltip="🔗 Ver Mapa" display="🔗 Ver Mapa"/>
    <hyperlink ref="L2289" r:id="rId2287" tooltip="🔗 Ver Mapa" display="🔗 Ver Mapa"/>
    <hyperlink ref="L2290" r:id="rId2288" tooltip="🔗 Ver Mapa" display="🔗 Ver Mapa"/>
    <hyperlink ref="L2291" r:id="rId2289" tooltip="🔗 Ver Mapa" display="🔗 Ver Mapa"/>
    <hyperlink ref="L2292" r:id="rId2290" tooltip="🔗 Ver Mapa" display="🔗 Ver Mapa"/>
    <hyperlink ref="L2293" r:id="rId2291" tooltip="🔗 Ver Mapa" display="🔗 Ver Mapa"/>
    <hyperlink ref="L2294" r:id="rId2292" tooltip="🔗 Ver Mapa" display="🔗 Ver Mapa"/>
    <hyperlink ref="L2295" r:id="rId2293" tooltip="🔗 Ver Mapa" display="🔗 Ver Mapa"/>
    <hyperlink ref="L2296" r:id="rId2294" tooltip="🔗 Ver Mapa" display="🔗 Ver Mapa"/>
    <hyperlink ref="L2297" r:id="rId2295" tooltip="🔗 Ver Mapa" display="🔗 Ver Mapa"/>
    <hyperlink ref="L2298" r:id="rId2296" tooltip="🔗 Ver Mapa" display="🔗 Ver Mapa"/>
    <hyperlink ref="L2299" r:id="rId2297" tooltip="🔗 Ver Mapa" display="🔗 Ver Mapa"/>
    <hyperlink ref="L2300" r:id="rId2298" tooltip="🔗 Ver Mapa" display="🔗 Ver Mapa"/>
    <hyperlink ref="L2301" r:id="rId2299" tooltip="🔗 Ver Mapa" display="🔗 Ver Mapa"/>
    <hyperlink ref="L2302" r:id="rId2300" tooltip="🔗 Ver Mapa" display="🔗 Ver Mapa"/>
    <hyperlink ref="L2303" r:id="rId2301" tooltip="🔗 Ver Mapa" display="🔗 Ver Mapa"/>
    <hyperlink ref="L2304" r:id="rId2302" tooltip="🔗 Ver Mapa" display="🔗 Ver Mapa"/>
    <hyperlink ref="L2305" r:id="rId2303" tooltip="🔗 Ver Mapa" display="🔗 Ver Mapa"/>
    <hyperlink ref="L2306" r:id="rId2304" tooltip="🔗 Ver Mapa" display="🔗 Ver Mapa"/>
    <hyperlink ref="L2307" r:id="rId2305" tooltip="🔗 Ver Mapa" display="🔗 Ver Mapa"/>
    <hyperlink ref="L2308" r:id="rId2306" tooltip="🔗 Ver Mapa" display="🔗 Ver Mapa"/>
    <hyperlink ref="L2309" r:id="rId2307" tooltip="🔗 Ver Mapa" display="🔗 Ver Mapa"/>
    <hyperlink ref="L2310" r:id="rId2308" tooltip="🔗 Ver Mapa" display="🔗 Ver Mapa"/>
    <hyperlink ref="L2311" r:id="rId2309" tooltip="🔗 Ver Mapa" display="🔗 Ver Mapa"/>
    <hyperlink ref="L2312" r:id="rId2310" tooltip="🔗 Ver Mapa" display="🔗 Ver Mapa"/>
    <hyperlink ref="L2313" r:id="rId2311" tooltip="🔗 Ver Mapa" display="🔗 Ver Mapa"/>
    <hyperlink ref="L2314" r:id="rId2312" tooltip="🔗 Ver Mapa" display="🔗 Ver Mapa"/>
    <hyperlink ref="L2315" r:id="rId2313" tooltip="🔗 Ver Mapa" display="🔗 Ver Mapa"/>
    <hyperlink ref="L2316" r:id="rId2314" tooltip="🔗 Ver Mapa" display="🔗 Ver Mapa"/>
    <hyperlink ref="L2317" r:id="rId2315" tooltip="🔗 Ver Mapa" display="🔗 Ver Mapa"/>
    <hyperlink ref="L2318" r:id="rId2316" tooltip="🔗 Ver Mapa" display="🔗 Ver Mapa"/>
    <hyperlink ref="L2319" r:id="rId2317" tooltip="🔗 Ver Mapa" display="🔗 Ver Mapa"/>
    <hyperlink ref="L2320" r:id="rId2318" tooltip="🔗 Ver Mapa" display="🔗 Ver Mapa"/>
    <hyperlink ref="L2321" r:id="rId2319" tooltip="🔗 Ver Mapa" display="🔗 Ver Mapa"/>
    <hyperlink ref="L2322" r:id="rId2320" tooltip="🔗 Ver Mapa" display="🔗 Ver Mapa"/>
    <hyperlink ref="L2323" r:id="rId2321" tooltip="🔗 Ver Mapa" display="🔗 Ver Mapa"/>
    <hyperlink ref="L2324" r:id="rId2322" tooltip="🔗 Ver Mapa" display="🔗 Ver Mapa"/>
    <hyperlink ref="L2325" r:id="rId2323" tooltip="🔗 Ver Mapa" display="🔗 Ver Mapa"/>
    <hyperlink ref="L2326" r:id="rId2324" tooltip="🔗 Ver Mapa" display="🔗 Ver Mapa"/>
    <hyperlink ref="L2327" r:id="rId2325" tooltip="🔗 Ver Mapa" display="🔗 Ver Mapa"/>
    <hyperlink ref="L2328" r:id="rId2326" tooltip="🔗 Ver Mapa" display="🔗 Ver Mapa"/>
    <hyperlink ref="L2329" r:id="rId2327" tooltip="🔗 Ver Mapa" display="🔗 Ver Mapa"/>
    <hyperlink ref="L2330" r:id="rId2328" tooltip="🔗 Ver Mapa" display="🔗 Ver Mapa"/>
    <hyperlink ref="L2331" r:id="rId2329" tooltip="🔗 Ver Mapa" display="🔗 Ver Mapa"/>
    <hyperlink ref="L2332" r:id="rId2330" tooltip="🔗 Ver Mapa" display="🔗 Ver Mapa"/>
    <hyperlink ref="L2333" r:id="rId2331" tooltip="🔗 Ver Mapa" display="🔗 Ver Mapa"/>
    <hyperlink ref="L2334" r:id="rId2332" tooltip="🔗 Ver Mapa" display="🔗 Ver Mapa"/>
    <hyperlink ref="L2335" r:id="rId2333" tooltip="🔗 Ver Mapa" display="🔗 Ver Mapa"/>
    <hyperlink ref="L2336" r:id="rId2334" tooltip="🔗 Ver Mapa" display="🔗 Ver Mapa"/>
    <hyperlink ref="L2337" r:id="rId2335" tooltip="🔗 Ver Mapa" display="🔗 Ver Mapa"/>
    <hyperlink ref="L2338" r:id="rId2336" tooltip="🔗 Ver Mapa" display="🔗 Ver Mapa"/>
    <hyperlink ref="L2339" r:id="rId2337" tooltip="🔗 Ver Mapa" display="🔗 Ver Mapa"/>
    <hyperlink ref="L2340" r:id="rId2338" tooltip="🔗 Ver Mapa" display="🔗 Ver Mapa"/>
    <hyperlink ref="L2341" r:id="rId2339" tooltip="🔗 Ver Mapa" display="🔗 Ver Mapa"/>
    <hyperlink ref="L2342" r:id="rId2340" tooltip="🔗 Ver Mapa" display="🔗 Ver Mapa"/>
    <hyperlink ref="L2343" r:id="rId2341" tooltip="🔗 Ver Mapa" display="🔗 Ver Mapa"/>
    <hyperlink ref="L2344" r:id="rId2342" tooltip="🔗 Ver Mapa" display="🔗 Ver Mapa"/>
    <hyperlink ref="L2345" r:id="rId2343" tooltip="🔗 Ver Mapa" display="🔗 Ver Mapa"/>
    <hyperlink ref="L2346" r:id="rId2344" tooltip="🔗 Ver Mapa" display="🔗 Ver Mapa"/>
    <hyperlink ref="L2347" r:id="rId2345" tooltip="🔗 Ver Mapa" display="🔗 Ver Mapa"/>
    <hyperlink ref="L2348" r:id="rId2346" tooltip="🔗 Ver Mapa" display="🔗 Ver Mapa"/>
    <hyperlink ref="L2349" r:id="rId2347" tooltip="🔗 Ver Mapa" display="🔗 Ver Mapa"/>
    <hyperlink ref="L2350" r:id="rId2348" tooltip="🔗 Ver Mapa" display="🔗 Ver Mapa"/>
    <hyperlink ref="L2351" r:id="rId2349" tooltip="🔗 Ver Mapa" display="🔗 Ver Mapa"/>
    <hyperlink ref="L2352" r:id="rId2350" tooltip="🔗 Ver Mapa" display="🔗 Ver Mapa"/>
    <hyperlink ref="L2353" r:id="rId2351" tooltip="🔗 Ver Mapa" display="🔗 Ver Mapa"/>
    <hyperlink ref="L2354" r:id="rId2352" tooltip="🔗 Ver Mapa" display="🔗 Ver Mapa"/>
    <hyperlink ref="L2355" r:id="rId2353" tooltip="🔗 Ver Mapa" display="🔗 Ver Mapa"/>
    <hyperlink ref="L2356" r:id="rId2354" tooltip="🔗 Ver Mapa" display="🔗 Ver Mapa"/>
    <hyperlink ref="L2357" r:id="rId2355" tooltip="🔗 Ver Mapa" display="🔗 Ver Mapa"/>
    <hyperlink ref="L2358" r:id="rId2356" tooltip="🔗 Ver Mapa" display="🔗 Ver Mapa"/>
    <hyperlink ref="L2359" r:id="rId2357" tooltip="🔗 Ver Mapa" display="🔗 Ver Mapa"/>
    <hyperlink ref="L2360" r:id="rId2358" tooltip="🔗 Ver Mapa" display="🔗 Ver Mapa"/>
    <hyperlink ref="L2361" r:id="rId2359" tooltip="🔗 Ver Mapa" display="🔗 Ver Mapa"/>
    <hyperlink ref="L2362" r:id="rId2360" tooltip="🔗 Ver Mapa" display="🔗 Ver Mapa"/>
    <hyperlink ref="L2363" r:id="rId2361" tooltip="🔗 Ver Mapa" display="🔗 Ver Mapa"/>
    <hyperlink ref="L2364" r:id="rId2362" tooltip="🔗 Ver Mapa" display="🔗 Ver Mapa"/>
    <hyperlink ref="L2365" r:id="rId2363" tooltip="🔗 Ver Mapa" display="🔗 Ver Mapa"/>
    <hyperlink ref="L2366" r:id="rId2364" tooltip="🔗 Ver Mapa" display="🔗 Ver Mapa"/>
    <hyperlink ref="L2367" r:id="rId2365" tooltip="🔗 Ver Mapa" display="🔗 Ver Mapa"/>
    <hyperlink ref="L2368" r:id="rId2366" tooltip="🔗 Ver Mapa" display="🔗 Ver Mapa"/>
    <hyperlink ref="L2369" r:id="rId2367" tooltip="🔗 Ver Mapa" display="🔗 Ver Mapa"/>
    <hyperlink ref="L2370" r:id="rId2368" tooltip="🔗 Ver Mapa" display="🔗 Ver Mapa"/>
    <hyperlink ref="L2371" r:id="rId2369" tooltip="🔗 Ver Mapa" display="🔗 Ver Mapa"/>
    <hyperlink ref="L2372" r:id="rId2370" tooltip="🔗 Ver Mapa" display="🔗 Ver Mapa"/>
    <hyperlink ref="L2373" r:id="rId2371" tooltip="🔗 Ver Mapa" display="🔗 Ver Mapa"/>
    <hyperlink ref="L2374" r:id="rId2372" tooltip="🔗 Ver Mapa" display="🔗 Ver Mapa"/>
    <hyperlink ref="L2375" r:id="rId2373" tooltip="🔗 Ver Mapa" display="🔗 Ver Mapa"/>
    <hyperlink ref="L2376" r:id="rId2374" tooltip="🔗 Ver Mapa" display="🔗 Ver Mapa"/>
    <hyperlink ref="L2377" r:id="rId2375" tooltip="🔗 Ver Mapa" display="🔗 Ver Mapa"/>
    <hyperlink ref="L2378" r:id="rId2376" tooltip="🔗 Ver Mapa" display="🔗 Ver Mapa"/>
    <hyperlink ref="L2379" r:id="rId2377" tooltip="🔗 Ver Mapa" display="🔗 Ver Mapa"/>
    <hyperlink ref="L2380" r:id="rId2378" tooltip="🔗 Ver Mapa" display="🔗 Ver Mapa"/>
    <hyperlink ref="L2381" r:id="rId2379" tooltip="🔗 Ver Mapa" display="🔗 Ver Mapa"/>
    <hyperlink ref="L2382" r:id="rId2380" tooltip="🔗 Ver Mapa" display="🔗 Ver Mapa"/>
    <hyperlink ref="L2383" r:id="rId2381" tooltip="🔗 Ver Mapa" display="🔗 Ver Mapa"/>
    <hyperlink ref="L2384" r:id="rId2382" tooltip="🔗 Ver Mapa" display="🔗 Ver Mapa"/>
    <hyperlink ref="L2385" r:id="rId2383" tooltip="🔗 Ver Mapa" display="🔗 Ver Mapa"/>
    <hyperlink ref="L2386" r:id="rId2384" tooltip="🔗 Ver Mapa" display="🔗 Ver Mapa"/>
    <hyperlink ref="L2387" r:id="rId2385" tooltip="🔗 Ver Mapa" display="🔗 Ver Mapa"/>
    <hyperlink ref="L2388" r:id="rId2386" tooltip="🔗 Ver Mapa" display="🔗 Ver Mapa"/>
    <hyperlink ref="L2389" r:id="rId2387" tooltip="🔗 Ver Mapa" display="🔗 Ver Mapa"/>
    <hyperlink ref="L2390" r:id="rId2388" tooltip="🔗 Ver Mapa" display="🔗 Ver Mapa"/>
    <hyperlink ref="L2391" r:id="rId2389" tooltip="🔗 Ver Mapa" display="🔗 Ver Mapa"/>
    <hyperlink ref="L2392" r:id="rId2390" tooltip="🔗 Ver Mapa" display="🔗 Ver Mapa"/>
    <hyperlink ref="L2393" r:id="rId2391" tooltip="🔗 Ver Mapa" display="🔗 Ver Mapa"/>
    <hyperlink ref="L2394" r:id="rId2392" tooltip="🔗 Ver Mapa" display="🔗 Ver Mapa"/>
    <hyperlink ref="L2395" r:id="rId2393" tooltip="🔗 Ver Mapa" display="🔗 Ver Mapa"/>
    <hyperlink ref="L2396" r:id="rId2394" tooltip="🔗 Ver Mapa" display="🔗 Ver Mapa"/>
    <hyperlink ref="L2397" r:id="rId2395" tooltip="🔗 Ver Mapa" display="🔗 Ver Mapa"/>
    <hyperlink ref="L2398" r:id="rId2396" tooltip="🔗 Ver Mapa" display="🔗 Ver Mapa"/>
    <hyperlink ref="L2399" r:id="rId2397" tooltip="🔗 Ver Mapa" display="🔗 Ver Mapa"/>
    <hyperlink ref="L2400" r:id="rId2398" tooltip="🔗 Ver Mapa" display="🔗 Ver Mapa"/>
    <hyperlink ref="L2401" r:id="rId2399" tooltip="🔗 Ver Mapa" display="🔗 Ver Mapa"/>
    <hyperlink ref="L2402" r:id="rId2400" tooltip="🔗 Ver Mapa" display="🔗 Ver Mapa"/>
    <hyperlink ref="L2403" r:id="rId2401" tooltip="🔗 Ver Mapa" display="🔗 Ver Mapa"/>
    <hyperlink ref="L2404" r:id="rId2402" tooltip="🔗 Ver Mapa" display="🔗 Ver Mapa"/>
    <hyperlink ref="L2405" r:id="rId2403" tooltip="🔗 Ver Mapa" display="🔗 Ver Mapa"/>
    <hyperlink ref="L2406" r:id="rId2404" tooltip="🔗 Ver Mapa" display="🔗 Ver Mapa"/>
    <hyperlink ref="L2407" r:id="rId2405" tooltip="🔗 Ver Mapa" display="🔗 Ver Mapa"/>
    <hyperlink ref="L2408" r:id="rId2406" tooltip="🔗 Ver Mapa" display="🔗 Ver Mapa"/>
    <hyperlink ref="L2409" r:id="rId2407" tooltip="🔗 Ver Mapa" display="🔗 Ver Mapa"/>
    <hyperlink ref="L2410" r:id="rId2408" tooltip="🔗 Ver Mapa" display="🔗 Ver Mapa"/>
    <hyperlink ref="L2411" r:id="rId2409" tooltip="🔗 Ver Mapa" display="🔗 Ver Mapa"/>
    <hyperlink ref="L2412" r:id="rId2410" tooltip="🔗 Ver Mapa" display="🔗 Ver Mapa"/>
    <hyperlink ref="L2413" r:id="rId2411" tooltip="🔗 Ver Mapa" display="🔗 Ver Mapa"/>
    <hyperlink ref="L2414" r:id="rId2412" tooltip="🔗 Ver Mapa" display="🔗 Ver Mapa"/>
    <hyperlink ref="L2415" r:id="rId2413" tooltip="🔗 Ver Mapa" display="🔗 Ver Mapa"/>
    <hyperlink ref="L2416" r:id="rId2414" tooltip="🔗 Ver Mapa" display="🔗 Ver Mapa"/>
    <hyperlink ref="L2417" r:id="rId2415" tooltip="🔗 Ver Mapa" display="🔗 Ver Mapa"/>
    <hyperlink ref="L2418" r:id="rId2416" tooltip="🔗 Ver Mapa" display="🔗 Ver Mapa"/>
    <hyperlink ref="L2419" r:id="rId2417" tooltip="🔗 Ver Mapa" display="🔗 Ver Mapa"/>
    <hyperlink ref="L2420" r:id="rId2418" tooltip="🔗 Ver Mapa" display="🔗 Ver Mapa"/>
    <hyperlink ref="L2421" r:id="rId2419" tooltip="🔗 Ver Mapa" display="🔗 Ver Mapa"/>
    <hyperlink ref="L2422" r:id="rId2420" tooltip="🔗 Ver Mapa" display="🔗 Ver Mapa"/>
    <hyperlink ref="L2423" r:id="rId2421" tooltip="🔗 Ver Mapa" display="🔗 Ver Mapa"/>
    <hyperlink ref="L2424" r:id="rId2422" tooltip="🔗 Ver Mapa" display="🔗 Ver Mapa"/>
    <hyperlink ref="L2425" r:id="rId2423" tooltip="🔗 Ver Mapa" display="🔗 Ver Mapa"/>
    <hyperlink ref="L2426" r:id="rId2424" tooltip="🔗 Ver Mapa" display="🔗 Ver Mapa"/>
    <hyperlink ref="L2427" r:id="rId2425" tooltip="🔗 Ver Mapa" display="🔗 Ver Mapa"/>
    <hyperlink ref="L2428" r:id="rId2426" tooltip="🔗 Ver Mapa" display="🔗 Ver Mapa"/>
    <hyperlink ref="L2429" r:id="rId2427" tooltip="🔗 Ver Mapa" display="🔗 Ver Mapa"/>
    <hyperlink ref="L2430" r:id="rId2428" tooltip="🔗 Ver Mapa" display="🔗 Ver Mapa"/>
    <hyperlink ref="L2431" r:id="rId2429" tooltip="🔗 Ver Mapa" display="🔗 Ver Mapa"/>
    <hyperlink ref="L2432" r:id="rId2430" tooltip="🔗 Ver Mapa" display="🔗 Ver Mapa"/>
    <hyperlink ref="L2433" r:id="rId2431" tooltip="🔗 Ver Mapa" display="🔗 Ver Mapa"/>
    <hyperlink ref="L2434" r:id="rId2432" tooltip="🔗 Ver Mapa" display="🔗 Ver Mapa"/>
    <hyperlink ref="L2435" r:id="rId2433" tooltip="🔗 Ver Mapa" display="🔗 Ver Mapa"/>
    <hyperlink ref="L2436" r:id="rId2434" tooltip="🔗 Ver Mapa" display="🔗 Ver Mapa"/>
    <hyperlink ref="L2437" r:id="rId2435" tooltip="🔗 Ver Mapa" display="🔗 Ver Mapa"/>
    <hyperlink ref="L2438" r:id="rId2436" tooltip="🔗 Ver Mapa" display="🔗 Ver Mapa"/>
    <hyperlink ref="L2439" r:id="rId2437" tooltip="🔗 Ver Mapa" display="🔗 Ver Mapa"/>
    <hyperlink ref="L2440" r:id="rId2438" tooltip="🔗 Ver Mapa" display="🔗 Ver Mapa"/>
    <hyperlink ref="L2441" r:id="rId2439" tooltip="🔗 Ver Mapa" display="🔗 Ver Mapa"/>
    <hyperlink ref="L2442" r:id="rId2440" tooltip="🔗 Ver Mapa" display="🔗 Ver Mapa"/>
    <hyperlink ref="L2443" r:id="rId2441" tooltip="🔗 Ver Mapa" display="🔗 Ver Mapa"/>
    <hyperlink ref="L2444" r:id="rId2442" tooltip="🔗 Ver Mapa" display="🔗 Ver Mapa"/>
    <hyperlink ref="L2445" r:id="rId2443" tooltip="🔗 Ver Mapa" display="🔗 Ver Mapa"/>
    <hyperlink ref="L2446" r:id="rId2444" tooltip="🔗 Ver Mapa" display="🔗 Ver Mapa"/>
    <hyperlink ref="L2447" r:id="rId2445" tooltip="🔗 Ver Mapa" display="🔗 Ver Mapa"/>
    <hyperlink ref="L2448" r:id="rId2446" tooltip="🔗 Ver Mapa" display="🔗 Ver Mapa"/>
    <hyperlink ref="L2449" r:id="rId2447" tooltip="🔗 Ver Mapa" display="🔗 Ver Mapa"/>
    <hyperlink ref="L2450" r:id="rId2448" tooltip="🔗 Ver Mapa" display="🔗 Ver Mapa"/>
    <hyperlink ref="L2451" r:id="rId2449" tooltip="🔗 Ver Mapa" display="🔗 Ver Mapa"/>
    <hyperlink ref="L2452" r:id="rId2450" tooltip="🔗 Ver Mapa" display="🔗 Ver Mapa"/>
    <hyperlink ref="L2453" r:id="rId2451" tooltip="🔗 Ver Mapa" display="🔗 Ver Mapa"/>
    <hyperlink ref="L2454" r:id="rId2452" tooltip="🔗 Ver Mapa" display="🔗 Ver Mapa"/>
    <hyperlink ref="L2455" r:id="rId2453" tooltip="🔗 Ver Mapa" display="🔗 Ver Mapa"/>
    <hyperlink ref="L2456" r:id="rId2454" tooltip="🔗 Ver Mapa" display="🔗 Ver Mapa"/>
    <hyperlink ref="L2457" r:id="rId2455" tooltip="🔗 Ver Mapa" display="🔗 Ver Mapa"/>
    <hyperlink ref="L2458" r:id="rId2456" tooltip="🔗 Ver Mapa" display="🔗 Ver Mapa"/>
    <hyperlink ref="L2459" r:id="rId2457" tooltip="🔗 Ver Mapa" display="🔗 Ver Mapa"/>
    <hyperlink ref="L2460" r:id="rId2458" tooltip="🔗 Ver Mapa" display="🔗 Ver Mapa"/>
    <hyperlink ref="L2461" r:id="rId2459" tooltip="🔗 Ver Mapa" display="🔗 Ver Mapa"/>
    <hyperlink ref="L2462" r:id="rId2460" tooltip="🔗 Ver Mapa" display="🔗 Ver Mapa"/>
    <hyperlink ref="L2463" r:id="rId2461" tooltip="🔗 Ver Mapa" display="🔗 Ver Mapa"/>
    <hyperlink ref="L2464" r:id="rId2462" tooltip="🔗 Ver Mapa" display="🔗 Ver Mapa"/>
    <hyperlink ref="L2465" r:id="rId2463" tooltip="🔗 Ver Mapa" display="🔗 Ver Mapa"/>
    <hyperlink ref="L2466" r:id="rId2464" tooltip="🔗 Ver Mapa" display="🔗 Ver Mapa"/>
    <hyperlink ref="L2467" r:id="rId2465" tooltip="🔗 Ver Mapa" display="🔗 Ver Mapa"/>
    <hyperlink ref="L2468" r:id="rId2466" tooltip="🔗 Ver Mapa" display="🔗 Ver Mapa"/>
    <hyperlink ref="L2469" r:id="rId2467" tooltip="🔗 Ver Mapa" display="🔗 Ver Mapa"/>
    <hyperlink ref="L2470" r:id="rId2468" tooltip="🔗 Ver Mapa" display="🔗 Ver Mapa"/>
    <hyperlink ref="L2471" r:id="rId2469" tooltip="🔗 Ver Mapa" display="🔗 Ver Mapa"/>
    <hyperlink ref="L2472" r:id="rId2470" tooltip="🔗 Ver Mapa" display="🔗 Ver Mapa"/>
    <hyperlink ref="L2473" r:id="rId2471" tooltip="🔗 Ver Mapa" display="🔗 Ver Mapa"/>
    <hyperlink ref="L2474" r:id="rId2472" tooltip="🔗 Ver Mapa" display="🔗 Ver Mapa"/>
    <hyperlink ref="L2475" r:id="rId2473" tooltip="🔗 Ver Mapa" display="🔗 Ver Mapa"/>
    <hyperlink ref="L2476" r:id="rId2474" tooltip="🔗 Ver Mapa" display="🔗 Ver Mapa"/>
    <hyperlink ref="L2477" r:id="rId2475" tooltip="🔗 Ver Mapa" display="🔗 Ver Mapa"/>
    <hyperlink ref="L2478" r:id="rId2476" tooltip="🔗 Ver Mapa" display="🔗 Ver Mapa"/>
    <hyperlink ref="L2479" r:id="rId2477" tooltip="🔗 Ver Mapa" display="🔗 Ver Mapa"/>
    <hyperlink ref="L2480" r:id="rId2478" tooltip="🔗 Ver Mapa" display="🔗 Ver Mapa"/>
    <hyperlink ref="L2481" r:id="rId2479" tooltip="🔗 Ver Mapa" display="🔗 Ver Mapa"/>
    <hyperlink ref="L2482" r:id="rId2480" tooltip="🔗 Ver Mapa" display="🔗 Ver Mapa"/>
    <hyperlink ref="L2483" r:id="rId2481" tooltip="🔗 Ver Mapa" display="🔗 Ver Mapa"/>
    <hyperlink ref="L2484" r:id="rId2482" tooltip="🔗 Ver Mapa" display="🔗 Ver Mapa"/>
    <hyperlink ref="L2485" r:id="rId2483" tooltip="🔗 Ver Mapa" display="🔗 Ver Mapa"/>
    <hyperlink ref="L2486" r:id="rId2484" tooltip="🔗 Ver Mapa" display="🔗 Ver Mapa"/>
    <hyperlink ref="L2487" r:id="rId2485" tooltip="🔗 Ver Mapa" display="🔗 Ver Mapa"/>
    <hyperlink ref="L2488" r:id="rId2486" tooltip="🔗 Ver Mapa" display="🔗 Ver Mapa"/>
    <hyperlink ref="L2489" r:id="rId2487" tooltip="🔗 Ver Mapa" display="🔗 Ver Mapa"/>
    <hyperlink ref="L2490" r:id="rId2488" tooltip="🔗 Ver Mapa" display="🔗 Ver Mapa"/>
    <hyperlink ref="L2491" r:id="rId2489" tooltip="🔗 Ver Mapa" display="🔗 Ver Mapa"/>
    <hyperlink ref="L2492" r:id="rId2490" tooltip="🔗 Ver Mapa" display="🔗 Ver Mapa"/>
    <hyperlink ref="L2493" r:id="rId2491" tooltip="🔗 Ver Mapa" display="🔗 Ver Mapa"/>
    <hyperlink ref="L2494" r:id="rId2492" tooltip="🔗 Ver Mapa" display="🔗 Ver Mapa"/>
    <hyperlink ref="L2495" r:id="rId2493" tooltip="🔗 Ver Mapa" display="🔗 Ver Mapa"/>
    <hyperlink ref="L2496" r:id="rId2494" tooltip="🔗 Ver Mapa" display="🔗 Ver Mapa"/>
    <hyperlink ref="L2497" r:id="rId2495" tooltip="🔗 Ver Mapa" display="🔗 Ver Mapa"/>
    <hyperlink ref="L2498" r:id="rId2496" tooltip="🔗 Ver Mapa" display="🔗 Ver Mapa"/>
    <hyperlink ref="L2499" r:id="rId2497" tooltip="🔗 Ver Mapa" display="🔗 Ver Mapa"/>
    <hyperlink ref="L2500" r:id="rId2498" tooltip="🔗 Ver Mapa" display="🔗 Ver Mapa"/>
    <hyperlink ref="L2501" r:id="rId2499" tooltip="🔗 Ver Mapa" display="🔗 Ver Mapa"/>
    <hyperlink ref="L2502" r:id="rId2500" tooltip="🔗 Ver Mapa" display="🔗 Ver Mapa"/>
    <hyperlink ref="L2503" r:id="rId2501" tooltip="🔗 Ver Mapa" display="🔗 Ver Mapa"/>
    <hyperlink ref="L2504" r:id="rId2502" tooltip="🔗 Ver Mapa" display="🔗 Ver Mapa"/>
    <hyperlink ref="L2505" r:id="rId2503" tooltip="🔗 Ver Mapa" display="🔗 Ver Mapa"/>
    <hyperlink ref="L2506" r:id="rId2504" tooltip="🔗 Ver Mapa" display="🔗 Ver Mapa"/>
    <hyperlink ref="L2507" r:id="rId2505" tooltip="🔗 Ver Mapa" display="🔗 Ver Mapa"/>
    <hyperlink ref="L2508" r:id="rId2506" tooltip="🔗 Ver Mapa" display="🔗 Ver Mapa"/>
    <hyperlink ref="L2509" r:id="rId2507" tooltip="🔗 Ver Mapa" display="🔗 Ver Mapa"/>
    <hyperlink ref="L2510" r:id="rId2508" tooltip="🔗 Ver Mapa" display="🔗 Ver Mapa"/>
    <hyperlink ref="L2511" r:id="rId2509" tooltip="🔗 Ver Mapa" display="🔗 Ver Mapa"/>
    <hyperlink ref="L2512" r:id="rId2510" tooltip="🔗 Ver Mapa" display="🔗 Ver Mapa"/>
    <hyperlink ref="L2513" r:id="rId2511" tooltip="🔗 Ver Mapa" display="🔗 Ver Mapa"/>
    <hyperlink ref="L2514" r:id="rId2512" tooltip="🔗 Ver Mapa" display="🔗 Ver Mapa"/>
    <hyperlink ref="L2515" r:id="rId2513" tooltip="🔗 Ver Mapa" display="🔗 Ver Mapa"/>
    <hyperlink ref="L2516" r:id="rId2514" tooltip="🔗 Ver Mapa" display="🔗 Ver Mapa"/>
    <hyperlink ref="L2517" r:id="rId2515" tooltip="🔗 Ver Mapa" display="🔗 Ver Mapa"/>
    <hyperlink ref="L2518" r:id="rId2516" tooltip="🔗 Ver Mapa" display="🔗 Ver Mapa"/>
    <hyperlink ref="L2519" r:id="rId2517" tooltip="🔗 Ver Mapa" display="🔗 Ver Mapa"/>
    <hyperlink ref="L2520" r:id="rId2518" tooltip="🔗 Ver Mapa" display="🔗 Ver Mapa"/>
    <hyperlink ref="L2521" r:id="rId2519" tooltip="🔗 Ver Mapa" display="🔗 Ver Mapa"/>
    <hyperlink ref="L2522" r:id="rId2520" tooltip="🔗 Ver Mapa" display="🔗 Ver Mapa"/>
    <hyperlink ref="L2523" r:id="rId2521" tooltip="🔗 Ver Mapa" display="🔗 Ver Mapa"/>
    <hyperlink ref="L2524" r:id="rId2522" tooltip="🔗 Ver Mapa" display="🔗 Ver Mapa"/>
    <hyperlink ref="L2525" r:id="rId2523" tooltip="🔗 Ver Mapa" display="🔗 Ver Mapa"/>
    <hyperlink ref="L2526" r:id="rId2524" tooltip="🔗 Ver Mapa" display="🔗 Ver Mapa"/>
    <hyperlink ref="L2527" r:id="rId2525" tooltip="🔗 Ver Mapa" display="🔗 Ver Mapa"/>
    <hyperlink ref="L2528" r:id="rId2526" tooltip="🔗 Ver Mapa" display="🔗 Ver Mapa"/>
    <hyperlink ref="L2529" r:id="rId2527" tooltip="🔗 Ver Mapa" display="🔗 Ver Mapa"/>
    <hyperlink ref="L2530" r:id="rId2528" tooltip="🔗 Ver Mapa" display="🔗 Ver Mapa"/>
    <hyperlink ref="L2531" r:id="rId2529" tooltip="🔗 Ver Mapa" display="🔗 Ver Mapa"/>
    <hyperlink ref="L2532" r:id="rId2530" tooltip="🔗 Ver Mapa" display="🔗 Ver Mapa"/>
    <hyperlink ref="L2533" r:id="rId2531" tooltip="🔗 Ver Mapa" display="🔗 Ver Mapa"/>
    <hyperlink ref="L2534" r:id="rId2532" tooltip="🔗 Ver Mapa" display="🔗 Ver Mapa"/>
    <hyperlink ref="L2535" r:id="rId2533" tooltip="🔗 Ver Mapa" display="🔗 Ver Mapa"/>
    <hyperlink ref="L2536" r:id="rId2534" tooltip="🔗 Ver Mapa" display="🔗 Ver Mapa"/>
    <hyperlink ref="L2537" r:id="rId2535" tooltip="🔗 Ver Mapa" display="🔗 Ver Mapa"/>
    <hyperlink ref="L2538" r:id="rId2536" tooltip="🔗 Ver Mapa" display="🔗 Ver Mapa"/>
    <hyperlink ref="L2539" r:id="rId2537" tooltip="🔗 Ver Mapa" display="🔗 Ver Mapa"/>
    <hyperlink ref="L2540" r:id="rId2538" tooltip="🔗 Ver Mapa" display="🔗 Ver Mapa"/>
    <hyperlink ref="L2541" r:id="rId2539" tooltip="🔗 Ver Mapa" display="🔗 Ver Mapa"/>
    <hyperlink ref="L2542" r:id="rId2540" tooltip="🔗 Ver Mapa" display="🔗 Ver Mapa"/>
    <hyperlink ref="L2543" r:id="rId2541" tooltip="🔗 Ver Mapa" display="🔗 Ver Mapa"/>
    <hyperlink ref="L2544" r:id="rId2542" tooltip="🔗 Ver Mapa" display="🔗 Ver Mapa"/>
    <hyperlink ref="L2545" r:id="rId2543" tooltip="🔗 Ver Mapa" display="🔗 Ver Mapa"/>
    <hyperlink ref="L2546" r:id="rId2544" tooltip="🔗 Ver Mapa" display="🔗 Ver Mapa"/>
    <hyperlink ref="L2547" r:id="rId2545" tooltip="🔗 Ver Mapa" display="🔗 Ver Mapa"/>
    <hyperlink ref="L2548" r:id="rId2546" tooltip="🔗 Ver Mapa" display="🔗 Ver Mapa"/>
    <hyperlink ref="L2549" r:id="rId2547" tooltip="🔗 Ver Mapa" display="🔗 Ver Mapa"/>
    <hyperlink ref="L2550" r:id="rId2548" tooltip="🔗 Ver Mapa" display="🔗 Ver Mapa"/>
    <hyperlink ref="L2551" r:id="rId2549" tooltip="🔗 Ver Mapa" display="🔗 Ver Mapa"/>
    <hyperlink ref="L2552" r:id="rId2550" tooltip="🔗 Ver Mapa" display="🔗 Ver Mapa"/>
    <hyperlink ref="L2553" r:id="rId2551" tooltip="🔗 Ver Mapa" display="🔗 Ver Mapa"/>
    <hyperlink ref="L2554" r:id="rId2552" tooltip="🔗 Ver Mapa" display="🔗 Ver Mapa"/>
    <hyperlink ref="L2555" r:id="rId2553" tooltip="🔗 Ver Mapa" display="🔗 Ver Mapa"/>
    <hyperlink ref="L2556" r:id="rId2554" tooltip="🔗 Ver Mapa" display="🔗 Ver Mapa"/>
    <hyperlink ref="L2557" r:id="rId2555" tooltip="🔗 Ver Mapa" display="🔗 Ver Mapa"/>
    <hyperlink ref="L2558" r:id="rId2556" tooltip="🔗 Ver Mapa" display="🔗 Ver Mapa"/>
    <hyperlink ref="L2559" r:id="rId2557" tooltip="🔗 Ver Mapa" display="🔗 Ver Mapa"/>
    <hyperlink ref="L2560" r:id="rId2558" tooltip="🔗 Ver Mapa" display="🔗 Ver Mapa"/>
    <hyperlink ref="L2561" r:id="rId2559" tooltip="🔗 Ver Mapa" display="🔗 Ver Mapa"/>
    <hyperlink ref="L2562" r:id="rId2560" tooltip="🔗 Ver Mapa" display="🔗 Ver Mapa"/>
    <hyperlink ref="L2563" r:id="rId2561" tooltip="🔗 Ver Mapa" display="🔗 Ver Mapa"/>
    <hyperlink ref="L2564" r:id="rId2562" tooltip="🔗 Ver Mapa" display="🔗 Ver Mapa"/>
    <hyperlink ref="L2565" r:id="rId2563" tooltip="🔗 Ver Mapa" display="🔗 Ver Mapa"/>
    <hyperlink ref="L2566" r:id="rId2564" tooltip="🔗 Ver Mapa" display="🔗 Ver Mapa"/>
    <hyperlink ref="L2567" r:id="rId2565" tooltip="🔗 Ver Mapa" display="🔗 Ver Mapa"/>
    <hyperlink ref="L2568" r:id="rId2566" tooltip="🔗 Ver Mapa" display="🔗 Ver Mapa"/>
    <hyperlink ref="L2569" r:id="rId2567" tooltip="🔗 Ver Mapa" display="🔗 Ver Mapa"/>
    <hyperlink ref="L2570" r:id="rId2568" tooltip="🔗 Ver Mapa" display="🔗 Ver Mapa"/>
    <hyperlink ref="L2571" r:id="rId2569" tooltip="🔗 Ver Mapa" display="🔗 Ver Mapa"/>
    <hyperlink ref="L2572" r:id="rId2570" tooltip="🔗 Ver Mapa" display="🔗 Ver Mapa"/>
    <hyperlink ref="L2573" r:id="rId2571" tooltip="🔗 Ver Mapa" display="🔗 Ver Mapa"/>
    <hyperlink ref="L2574" r:id="rId2572" tooltip="🔗 Ver Mapa" display="🔗 Ver Mapa"/>
    <hyperlink ref="L2575" r:id="rId2573" tooltip="🔗 Ver Mapa" display="🔗 Ver Mapa"/>
    <hyperlink ref="L2576" r:id="rId2574" tooltip="🔗 Ver Mapa" display="🔗 Ver Mapa"/>
    <hyperlink ref="L2577" r:id="rId2575" tooltip="🔗 Ver Mapa" display="🔗 Ver Mapa"/>
    <hyperlink ref="L2578" r:id="rId2576" tooltip="🔗 Ver Mapa" display="🔗 Ver Mapa"/>
    <hyperlink ref="L2579" r:id="rId2577" tooltip="🔗 Ver Mapa" display="🔗 Ver Mapa"/>
    <hyperlink ref="L2580" r:id="rId2578" tooltip="🔗 Ver Mapa" display="🔗 Ver Mapa"/>
    <hyperlink ref="L2581" r:id="rId2579" tooltip="🔗 Ver Mapa" display="🔗 Ver Mapa"/>
    <hyperlink ref="L2582" r:id="rId2580" tooltip="🔗 Ver Mapa" display="🔗 Ver Mapa"/>
    <hyperlink ref="L2583" r:id="rId2581" tooltip="🔗 Ver Mapa" display="🔗 Ver Mapa"/>
    <hyperlink ref="L2584" r:id="rId2582" tooltip="🔗 Ver Mapa" display="🔗 Ver Mapa"/>
    <hyperlink ref="L2585" r:id="rId2583" tooltip="🔗 Ver Mapa" display="🔗 Ver Mapa"/>
    <hyperlink ref="L2586" r:id="rId2584" tooltip="🔗 Ver Mapa" display="🔗 Ver Mapa"/>
    <hyperlink ref="L2587" r:id="rId2585" tooltip="🔗 Ver Mapa" display="🔗 Ver Mapa"/>
    <hyperlink ref="L2588" r:id="rId2586" tooltip="🔗 Ver Mapa" display="🔗 Ver Mapa"/>
    <hyperlink ref="L2589" r:id="rId2587" tooltip="🔗 Ver Mapa" display="🔗 Ver Mapa"/>
    <hyperlink ref="L2590" r:id="rId2588" tooltip="🔗 Ver Mapa" display="🔗 Ver Mapa"/>
    <hyperlink ref="L2591" r:id="rId2589" tooltip="🔗 Ver Mapa" display="🔗 Ver Mapa"/>
    <hyperlink ref="L2592" r:id="rId2590" tooltip="🔗 Ver Mapa" display="🔗 Ver Mapa"/>
    <hyperlink ref="L2593" r:id="rId2591" tooltip="🔗 Ver Mapa" display="🔗 Ver Mapa"/>
    <hyperlink ref="L2594" r:id="rId2592" tooltip="🔗 Ver Mapa" display="🔗 Ver Mapa"/>
    <hyperlink ref="L2595" r:id="rId2593" tooltip="🔗 Ver Mapa" display="🔗 Ver Mapa"/>
    <hyperlink ref="L2596" r:id="rId2594" tooltip="🔗 Ver Mapa" display="🔗 Ver Mapa"/>
    <hyperlink ref="L2597" r:id="rId2595" tooltip="🔗 Ver Mapa" display="🔗 Ver Mapa"/>
    <hyperlink ref="L2598" r:id="rId2596" tooltip="🔗 Ver Mapa" display="🔗 Ver Mapa"/>
    <hyperlink ref="L2599" r:id="rId2597" tooltip="🔗 Ver Mapa" display="🔗 Ver Mapa"/>
    <hyperlink ref="L2600" r:id="rId2598" tooltip="🔗 Ver Mapa" display="🔗 Ver Mapa"/>
    <hyperlink ref="L2601" r:id="rId2599" tooltip="🔗 Ver Mapa" display="🔗 Ver Mapa"/>
    <hyperlink ref="L2602" r:id="rId2600" tooltip="🔗 Ver Mapa" display="🔗 Ver Mapa"/>
    <hyperlink ref="L2603" r:id="rId2601" tooltip="🔗 Ver Mapa" display="🔗 Ver Mapa"/>
    <hyperlink ref="L2604" r:id="rId2602" tooltip="🔗 Ver Mapa" display="🔗 Ver Mapa"/>
    <hyperlink ref="L2605" r:id="rId2603" tooltip="🔗 Ver Mapa" display="🔗 Ver Mapa"/>
    <hyperlink ref="L2606" r:id="rId2604" tooltip="🔗 Ver Mapa" display="🔗 Ver Mapa"/>
    <hyperlink ref="L2607" r:id="rId2605" tooltip="🔗 Ver Mapa" display="🔗 Ver Mapa"/>
    <hyperlink ref="L2608" r:id="rId2606" tooltip="🔗 Ver Mapa" display="🔗 Ver Mapa"/>
    <hyperlink ref="L2609" r:id="rId2607" tooltip="🔗 Ver Mapa" display="🔗 Ver Mapa"/>
    <hyperlink ref="L2610" r:id="rId2608" tooltip="🔗 Ver Mapa" display="🔗 Ver Mapa"/>
    <hyperlink ref="L2611" r:id="rId2609" tooltip="🔗 Ver Mapa" display="🔗 Ver Mapa"/>
    <hyperlink ref="L2612" r:id="rId2610" tooltip="🔗 Ver Mapa" display="🔗 Ver Mapa"/>
    <hyperlink ref="L2613" r:id="rId2611" tooltip="🔗 Ver Mapa" display="🔗 Ver Mapa"/>
    <hyperlink ref="L2614" r:id="rId2612" tooltip="🔗 Ver Mapa" display="🔗 Ver Mapa"/>
    <hyperlink ref="L2615" r:id="rId2613" tooltip="🔗 Ver Mapa" display="🔗 Ver Mapa"/>
    <hyperlink ref="L2616" r:id="rId2614" tooltip="🔗 Ver Mapa" display="🔗 Ver Mapa"/>
    <hyperlink ref="L2617" r:id="rId2615" tooltip="🔗 Ver Mapa" display="🔗 Ver Mapa"/>
    <hyperlink ref="L2618" r:id="rId2616" tooltip="🔗 Ver Mapa" display="🔗 Ver Mapa"/>
    <hyperlink ref="L2619" r:id="rId2617" tooltip="🔗 Ver Mapa" display="🔗 Ver Mapa"/>
    <hyperlink ref="L2620" r:id="rId2618" tooltip="🔗 Ver Mapa" display="🔗 Ver Mapa"/>
    <hyperlink ref="L2621" r:id="rId2619" tooltip="🔗 Ver Mapa" display="🔗 Ver Mapa"/>
    <hyperlink ref="L2622" r:id="rId2620" tooltip="🔗 Ver Mapa" display="🔗 Ver Mapa"/>
    <hyperlink ref="L2623" r:id="rId2621" tooltip="🔗 Ver Mapa" display="🔗 Ver Mapa"/>
    <hyperlink ref="L2624" r:id="rId2622" tooltip="🔗 Ver Mapa" display="🔗 Ver Mapa"/>
    <hyperlink ref="L2625" r:id="rId2623" tooltip="🔗 Ver Mapa" display="🔗 Ver Mapa"/>
    <hyperlink ref="L2626" r:id="rId2624" tooltip="🔗 Ver Mapa" display="🔗 Ver Mapa"/>
    <hyperlink ref="L2627" r:id="rId2625" tooltip="🔗 Ver Mapa" display="🔗 Ver Mapa"/>
    <hyperlink ref="L2628" r:id="rId2626" tooltip="🔗 Ver Mapa" display="🔗 Ver Mapa"/>
    <hyperlink ref="L2629" r:id="rId2627" tooltip="🔗 Ver Mapa" display="🔗 Ver Mapa"/>
    <hyperlink ref="L2630" r:id="rId2628" tooltip="🔗 Ver Mapa" display="🔗 Ver Mapa"/>
    <hyperlink ref="L2631" r:id="rId2629" tooltip="🔗 Ver Mapa" display="🔗 Ver Mapa"/>
    <hyperlink ref="L2632" r:id="rId2630" tooltip="🔗 Ver Mapa" display="🔗 Ver Mapa"/>
    <hyperlink ref="L2633" r:id="rId2631" tooltip="🔗 Ver Mapa" display="🔗 Ver Mapa"/>
    <hyperlink ref="L2634" r:id="rId2632" tooltip="🔗 Ver Mapa" display="🔗 Ver Mapa"/>
    <hyperlink ref="L2635" r:id="rId2633" tooltip="🔗 Ver Mapa" display="🔗 Ver Mapa"/>
    <hyperlink ref="L2636" r:id="rId2634" tooltip="🔗 Ver Mapa" display="🔗 Ver Mapa"/>
    <hyperlink ref="L2637" r:id="rId2635" tooltip="🔗 Ver Mapa" display="🔗 Ver Mapa"/>
    <hyperlink ref="L2638" r:id="rId2636" tooltip="🔗 Ver Mapa" display="🔗 Ver Mapa"/>
    <hyperlink ref="L2639" r:id="rId2637" tooltip="🔗 Ver Mapa" display="🔗 Ver Mapa"/>
    <hyperlink ref="L2640" r:id="rId2638" tooltip="🔗 Ver Mapa" display="🔗 Ver Mapa"/>
    <hyperlink ref="L2641" r:id="rId2639" tooltip="🔗 Ver Mapa" display="🔗 Ver Mapa"/>
    <hyperlink ref="L2642" r:id="rId2640" tooltip="🔗 Ver Mapa" display="🔗 Ver Mapa"/>
    <hyperlink ref="L2643" r:id="rId2641" tooltip="🔗 Ver Mapa" display="🔗 Ver Mapa"/>
    <hyperlink ref="L2644" r:id="rId2642" tooltip="🔗 Ver Mapa" display="🔗 Ver Mapa"/>
    <hyperlink ref="L2645" r:id="rId2643" tooltip="🔗 Ver Mapa" display="🔗 Ver Mapa"/>
    <hyperlink ref="L2646" r:id="rId2644" tooltip="🔗 Ver Mapa" display="🔗 Ver Mapa"/>
    <hyperlink ref="L2647" r:id="rId2645" tooltip="🔗 Ver Mapa" display="🔗 Ver Mapa"/>
    <hyperlink ref="L2648" r:id="rId2646" tooltip="🔗 Ver Mapa" display="🔗 Ver Mapa"/>
    <hyperlink ref="L2649" r:id="rId2647" tooltip="🔗 Ver Mapa" display="🔗 Ver Mapa"/>
    <hyperlink ref="L2650" r:id="rId2648" tooltip="🔗 Ver Mapa" display="🔗 Ver Mapa"/>
    <hyperlink ref="L2651" r:id="rId2649" tooltip="🔗 Ver Mapa" display="🔗 Ver Mapa"/>
    <hyperlink ref="L2652" r:id="rId2650" tooltip="🔗 Ver Mapa" display="🔗 Ver Mapa"/>
    <hyperlink ref="L2653" r:id="rId2651" tooltip="🔗 Ver Mapa" display="🔗 Ver Mapa"/>
    <hyperlink ref="L2654" r:id="rId2652" tooltip="🔗 Ver Mapa" display="🔗 Ver Mapa"/>
    <hyperlink ref="L2655" r:id="rId2653" tooltip="🔗 Ver Mapa" display="🔗 Ver Mapa"/>
    <hyperlink ref="L2656" r:id="rId2654" tooltip="🔗 Ver Mapa" display="🔗 Ver Mapa"/>
    <hyperlink ref="L2657" r:id="rId2655" tooltip="🔗 Ver Mapa" display="🔗 Ver Mapa"/>
    <hyperlink ref="L2658" r:id="rId2656" tooltip="🔗 Ver Mapa" display="🔗 Ver Mapa"/>
    <hyperlink ref="L2659" r:id="rId2657" tooltip="🔗 Ver Mapa" display="🔗 Ver Mapa"/>
    <hyperlink ref="L2660" r:id="rId2658" tooltip="🔗 Ver Mapa" display="🔗 Ver Mapa"/>
    <hyperlink ref="L2661" r:id="rId2659" tooltip="🔗 Ver Mapa" display="🔗 Ver Mapa"/>
    <hyperlink ref="L2662" r:id="rId2660" tooltip="🔗 Ver Mapa" display="🔗 Ver Mapa"/>
    <hyperlink ref="L2663" r:id="rId2661" tooltip="🔗 Ver Mapa" display="🔗 Ver Mapa"/>
    <hyperlink ref="L2664" r:id="rId2662" tooltip="🔗 Ver Mapa" display="🔗 Ver Mapa"/>
    <hyperlink ref="L2665" r:id="rId2663" tooltip="🔗 Ver Mapa" display="🔗 Ver Mapa"/>
    <hyperlink ref="L2666" r:id="rId2664" tooltip="🔗 Ver Mapa" display="🔗 Ver Mapa"/>
    <hyperlink ref="L2667" r:id="rId2665" tooltip="🔗 Ver Mapa" display="🔗 Ver Mapa"/>
    <hyperlink ref="L2668" r:id="rId2666" tooltip="🔗 Ver Mapa" display="🔗 Ver Mapa"/>
    <hyperlink ref="L2669" r:id="rId2667" tooltip="🔗 Ver Mapa" display="🔗 Ver Mapa"/>
    <hyperlink ref="L2670" r:id="rId2668" tooltip="🔗 Ver Mapa" display="🔗 Ver Mapa"/>
    <hyperlink ref="L2671" r:id="rId2669" tooltip="🔗 Ver Mapa" display="🔗 Ver Mapa"/>
    <hyperlink ref="L2672" r:id="rId2670" tooltip="🔗 Ver Mapa" display="🔗 Ver Mapa"/>
    <hyperlink ref="L2673" r:id="rId2671" tooltip="🔗 Ver Mapa" display="🔗 Ver Mapa"/>
    <hyperlink ref="L2674" r:id="rId2672" tooltip="🔗 Ver Mapa" display="🔗 Ver Mapa"/>
    <hyperlink ref="L2675" r:id="rId2673" tooltip="🔗 Ver Mapa" display="🔗 Ver Mapa"/>
    <hyperlink ref="L2676" r:id="rId2674" tooltip="🔗 Ver Mapa" display="🔗 Ver Mapa"/>
    <hyperlink ref="L2677" r:id="rId2675" tooltip="🔗 Ver Mapa" display="🔗 Ver Mapa"/>
    <hyperlink ref="L2678" r:id="rId2676" tooltip="🔗 Ver Mapa" display="🔗 Ver Mapa"/>
    <hyperlink ref="L2679" r:id="rId2677" tooltip="🔗 Ver Mapa" display="🔗 Ver Mapa"/>
    <hyperlink ref="L2680" r:id="rId2678" tooltip="🔗 Ver Mapa" display="🔗 Ver Mapa"/>
    <hyperlink ref="L2681" r:id="rId2679" tooltip="🔗 Ver Mapa" display="🔗 Ver Mapa"/>
    <hyperlink ref="L2682" r:id="rId2680" tooltip="🔗 Ver Mapa" display="🔗 Ver Mapa"/>
    <hyperlink ref="L2683" r:id="rId2681" tooltip="🔗 Ver Mapa" display="🔗 Ver Mapa"/>
    <hyperlink ref="L2684" r:id="rId2682" tooltip="🔗 Ver Mapa" display="🔗 Ver Mapa"/>
    <hyperlink ref="L2685" r:id="rId2683" tooltip="🔗 Ver Mapa" display="🔗 Ver Mapa"/>
    <hyperlink ref="L2686" r:id="rId2684" tooltip="🔗 Ver Mapa" display="🔗 Ver Mapa"/>
    <hyperlink ref="L2687" r:id="rId2685" tooltip="🔗 Ver Mapa" display="🔗 Ver Mapa"/>
    <hyperlink ref="L2688" r:id="rId2686" tooltip="🔗 Ver Mapa" display="🔗 Ver Mapa"/>
    <hyperlink ref="L2689" r:id="rId2687" tooltip="🔗 Ver Mapa" display="🔗 Ver Mapa"/>
    <hyperlink ref="L2690" r:id="rId2688" tooltip="🔗 Ver Mapa" display="🔗 Ver Mapa"/>
    <hyperlink ref="L2691" r:id="rId2689" tooltip="🔗 Ver Mapa" display="🔗 Ver Mapa"/>
    <hyperlink ref="L2692" r:id="rId2690" tooltip="🔗 Ver Mapa" display="🔗 Ver Mapa"/>
    <hyperlink ref="L2693" r:id="rId2691" tooltip="🔗 Ver Mapa" display="🔗 Ver Mapa"/>
    <hyperlink ref="L2694" r:id="rId2692" tooltip="🔗 Ver Mapa" display="🔗 Ver Mapa"/>
    <hyperlink ref="L2695" r:id="rId2693" tooltip="🔗 Ver Mapa" display="🔗 Ver Mapa"/>
    <hyperlink ref="L2696" r:id="rId2694" tooltip="🔗 Ver Mapa" display="🔗 Ver Mapa"/>
    <hyperlink ref="L2697" r:id="rId2695" tooltip="🔗 Ver Mapa" display="🔗 Ver Mapa"/>
    <hyperlink ref="L2698" r:id="rId2696" tooltip="🔗 Ver Mapa" display="🔗 Ver Mapa"/>
    <hyperlink ref="L2699" r:id="rId2697" tooltip="🔗 Ver Mapa" display="🔗 Ver Mapa"/>
    <hyperlink ref="L2700" r:id="rId2698" tooltip="🔗 Ver Mapa" display="🔗 Ver Mapa"/>
    <hyperlink ref="L2701" r:id="rId2699" tooltip="🔗 Ver Mapa" display="🔗 Ver Mapa"/>
    <hyperlink ref="L2702" r:id="rId2700" tooltip="🔗 Ver Mapa" display="🔗 Ver Mapa"/>
    <hyperlink ref="L2703" r:id="rId2701" tooltip="🔗 Ver Mapa" display="🔗 Ver Mapa"/>
    <hyperlink ref="L2704" r:id="rId2702" tooltip="🔗 Ver Mapa" display="🔗 Ver Mapa"/>
    <hyperlink ref="L2705" r:id="rId2703" tooltip="🔗 Ver Mapa" display="🔗 Ver Mapa"/>
    <hyperlink ref="L2706" r:id="rId2704" tooltip="🔗 Ver Mapa" display="🔗 Ver Mapa"/>
    <hyperlink ref="L2707" r:id="rId2705" tooltip="🔗 Ver Mapa" display="🔗 Ver Mapa"/>
    <hyperlink ref="L2708" r:id="rId2706" tooltip="🔗 Ver Mapa" display="🔗 Ver Mapa"/>
    <hyperlink ref="L2709" r:id="rId2707" tooltip="🔗 Ver Mapa" display="🔗 Ver Mapa"/>
    <hyperlink ref="L2710" r:id="rId2708" tooltip="🔗 Ver Mapa" display="🔗 Ver Mapa"/>
    <hyperlink ref="L2711" r:id="rId2709" tooltip="🔗 Ver Mapa" display="🔗 Ver Mapa"/>
    <hyperlink ref="L2712" r:id="rId2710" tooltip="🔗 Ver Mapa" display="🔗 Ver Mapa"/>
    <hyperlink ref="L2713" r:id="rId2711" tooltip="🔗 Ver Mapa" display="🔗 Ver Mapa"/>
    <hyperlink ref="L2714" r:id="rId2712" tooltip="🔗 Ver Mapa" display="🔗 Ver Mapa"/>
    <hyperlink ref="L2715" r:id="rId2713" tooltip="🔗 Ver Mapa" display="🔗 Ver Mapa"/>
    <hyperlink ref="L2716" r:id="rId2714" tooltip="🔗 Ver Mapa" display="🔗 Ver Mapa"/>
    <hyperlink ref="L2717" r:id="rId2715" tooltip="🔗 Ver Mapa" display="🔗 Ver Mapa"/>
    <hyperlink ref="L2718" r:id="rId2716" tooltip="🔗 Ver Mapa" display="🔗 Ver Mapa"/>
    <hyperlink ref="L2719" r:id="rId2717" tooltip="🔗 Ver Mapa" display="🔗 Ver Mapa"/>
    <hyperlink ref="L2720" r:id="rId2718" tooltip="🔗 Ver Mapa" display="🔗 Ver Mapa"/>
    <hyperlink ref="L2721" r:id="rId2719" tooltip="🔗 Ver Mapa" display="🔗 Ver Mapa"/>
    <hyperlink ref="L2722" r:id="rId2720" tooltip="🔗 Ver Mapa" display="🔗 Ver Mapa"/>
    <hyperlink ref="L2723" r:id="rId2721" tooltip="🔗 Ver Mapa" display="🔗 Ver Mapa"/>
    <hyperlink ref="L2724" r:id="rId2722" tooltip="🔗 Ver Mapa" display="🔗 Ver Mapa"/>
    <hyperlink ref="L2725" r:id="rId2723" tooltip="🔗 Ver Mapa" display="🔗 Ver Mapa"/>
    <hyperlink ref="L2726" r:id="rId2724" tooltip="🔗 Ver Mapa" display="🔗 Ver Mapa"/>
    <hyperlink ref="L2727" r:id="rId2725" tooltip="🔗 Ver Mapa" display="🔗 Ver Mapa"/>
    <hyperlink ref="L2728" r:id="rId2726" tooltip="🔗 Ver Mapa" display="🔗 Ver Mapa"/>
    <hyperlink ref="L2729" r:id="rId2727" tooltip="🔗 Ver Mapa" display="🔗 Ver Mapa"/>
    <hyperlink ref="L2730" r:id="rId2728" tooltip="🔗 Ver Mapa" display="🔗 Ver Mapa"/>
    <hyperlink ref="L2731" r:id="rId2729" tooltip="🔗 Ver Mapa" display="🔗 Ver Mapa"/>
    <hyperlink ref="L2732" r:id="rId2730" tooltip="🔗 Ver Mapa" display="🔗 Ver Mapa"/>
    <hyperlink ref="L2733" r:id="rId2731" tooltip="🔗 Ver Mapa" display="🔗 Ver Mapa"/>
    <hyperlink ref="L2734" r:id="rId2732" tooltip="🔗 Ver Mapa" display="🔗 Ver Mapa"/>
    <hyperlink ref="L2735" r:id="rId2733" tooltip="🔗 Ver Mapa" display="🔗 Ver Mapa"/>
    <hyperlink ref="L2736" r:id="rId2734" tooltip="🔗 Ver Mapa" display="🔗 Ver Mapa"/>
    <hyperlink ref="L2737" r:id="rId2735" tooltip="🔗 Ver Mapa" display="🔗 Ver Mapa"/>
    <hyperlink ref="L2738" r:id="rId2736" tooltip="🔗 Ver Mapa" display="🔗 Ver Mapa"/>
    <hyperlink ref="L2739" r:id="rId2737" tooltip="🔗 Ver Mapa" display="🔗 Ver Mapa"/>
    <hyperlink ref="L2740" r:id="rId2738" tooltip="🔗 Ver Mapa" display="🔗 Ver Mapa"/>
    <hyperlink ref="L2741" r:id="rId2739" tooltip="🔗 Ver Mapa" display="🔗 Ver Mapa"/>
    <hyperlink ref="L2742" r:id="rId2740" tooltip="🔗 Ver Mapa" display="🔗 Ver Mapa"/>
    <hyperlink ref="L2743" r:id="rId2741" tooltip="🔗 Ver Mapa" display="🔗 Ver Mapa"/>
    <hyperlink ref="L2744" r:id="rId2742" tooltip="🔗 Ver Mapa" display="🔗 Ver Mapa"/>
    <hyperlink ref="L2745" r:id="rId2743" tooltip="🔗 Ver Mapa" display="🔗 Ver Mapa"/>
    <hyperlink ref="L2746" r:id="rId2744" tooltip="🔗 Ver Mapa" display="🔗 Ver Mapa"/>
    <hyperlink ref="L2747" r:id="rId2745" tooltip="🔗 Ver Mapa" display="🔗 Ver Mapa"/>
    <hyperlink ref="L2748" r:id="rId2746" tooltip="🔗 Ver Mapa" display="🔗 Ver Mapa"/>
    <hyperlink ref="L2749" r:id="rId2747" tooltip="🔗 Ver Mapa" display="🔗 Ver Mapa"/>
    <hyperlink ref="L2750" r:id="rId2748" tooltip="🔗 Ver Mapa" display="🔗 Ver Mapa"/>
    <hyperlink ref="L2751" r:id="rId2749" tooltip="🔗 Ver Mapa" display="🔗 Ver Mapa"/>
    <hyperlink ref="L2752" r:id="rId2750" tooltip="🔗 Ver Mapa" display="🔗 Ver Mapa"/>
    <hyperlink ref="L2753" r:id="rId2751" tooltip="🔗 Ver Mapa" display="🔗 Ver Mapa"/>
    <hyperlink ref="L2754" r:id="rId2752" tooltip="🔗 Ver Mapa" display="🔗 Ver Mapa"/>
    <hyperlink ref="L2755" r:id="rId2753" tooltip="🔗 Ver Mapa" display="🔗 Ver Mapa"/>
    <hyperlink ref="L2756" r:id="rId2754" tooltip="🔗 Ver Mapa" display="🔗 Ver Mapa"/>
    <hyperlink ref="L2757" r:id="rId2755" tooltip="🔗 Ver Mapa" display="🔗 Ver Mapa"/>
    <hyperlink ref="L2758" r:id="rId2756" tooltip="🔗 Ver Mapa" display="🔗 Ver Mapa"/>
    <hyperlink ref="L2759" r:id="rId2757" tooltip="🔗 Ver Mapa" display="🔗 Ver Mapa"/>
    <hyperlink ref="L2760" r:id="rId2758" tooltip="🔗 Ver Mapa" display="🔗 Ver Mapa"/>
    <hyperlink ref="L2761" r:id="rId2759" tooltip="🔗 Ver Mapa" display="🔗 Ver Mapa"/>
    <hyperlink ref="L2762" r:id="rId2760" tooltip="🔗 Ver Mapa" display="🔗 Ver Mapa"/>
    <hyperlink ref="L2763" r:id="rId2761" tooltip="🔗 Ver Mapa" display="🔗 Ver Mapa"/>
    <hyperlink ref="L2764" r:id="rId2762" tooltip="🔗 Ver Mapa" display="🔗 Ver Mapa"/>
    <hyperlink ref="L2765" r:id="rId2763" tooltip="🔗 Ver Mapa" display="🔗 Ver Mapa"/>
    <hyperlink ref="L2766" r:id="rId2764" tooltip="🔗 Ver Mapa" display="🔗 Ver Mapa"/>
    <hyperlink ref="L2767" r:id="rId2765" tooltip="🔗 Ver Mapa" display="🔗 Ver Mapa"/>
    <hyperlink ref="L2768" r:id="rId2766" tooltip="🔗 Ver Mapa" display="🔗 Ver Mapa"/>
    <hyperlink ref="L2769" r:id="rId2767" tooltip="🔗 Ver Mapa" display="🔗 Ver Mapa"/>
    <hyperlink ref="L2770" r:id="rId2768" tooltip="🔗 Ver Mapa" display="🔗 Ver Mapa"/>
    <hyperlink ref="L2771" r:id="rId2769" tooltip="🔗 Ver Mapa" display="🔗 Ver Mapa"/>
    <hyperlink ref="L2772" r:id="rId2770" tooltip="🔗 Ver Mapa" display="🔗 Ver Mapa"/>
    <hyperlink ref="L2773" r:id="rId2771" tooltip="🔗 Ver Mapa" display="🔗 Ver Mapa"/>
    <hyperlink ref="L2774" r:id="rId2772" tooltip="🔗 Ver Mapa" display="🔗 Ver Mapa"/>
    <hyperlink ref="L2775" r:id="rId2773" tooltip="🔗 Ver Mapa" display="🔗 Ver Mapa"/>
    <hyperlink ref="L2776" r:id="rId2774" tooltip="🔗 Ver Mapa" display="🔗 Ver Mapa"/>
    <hyperlink ref="L2777" r:id="rId2775" tooltip="🔗 Ver Mapa" display="🔗 Ver Mapa"/>
    <hyperlink ref="L2778" r:id="rId2776" tooltip="🔗 Ver Mapa" display="🔗 Ver Mapa"/>
    <hyperlink ref="L2779" r:id="rId2777" tooltip="🔗 Ver Mapa" display="🔗 Ver Mapa"/>
    <hyperlink ref="L2780" r:id="rId2778" tooltip="🔗 Ver Mapa" display="🔗 Ver Mapa"/>
    <hyperlink ref="L2781" r:id="rId2779" tooltip="🔗 Ver Mapa" display="🔗 Ver Mapa"/>
    <hyperlink ref="L2782" r:id="rId2780" tooltip="🔗 Ver Mapa" display="🔗 Ver Mapa"/>
    <hyperlink ref="L2783" r:id="rId2781" tooltip="🔗 Ver Mapa" display="🔗 Ver Mapa"/>
    <hyperlink ref="L2784" r:id="rId2782" tooltip="🔗 Ver Mapa" display="🔗 Ver Mapa"/>
    <hyperlink ref="L2785" r:id="rId2783" tooltip="🔗 Ver Mapa" display="🔗 Ver Mapa"/>
    <hyperlink ref="L2786" r:id="rId2784" tooltip="🔗 Ver Mapa" display="🔗 Ver Mapa"/>
    <hyperlink ref="L2787" r:id="rId2785" tooltip="🔗 Ver Mapa" display="🔗 Ver Mapa"/>
    <hyperlink ref="L2788" r:id="rId2786" tooltip="🔗 Ver Mapa" display="🔗 Ver Mapa"/>
    <hyperlink ref="L2789" r:id="rId2787" tooltip="🔗 Ver Mapa" display="🔗 Ver Mapa"/>
    <hyperlink ref="L2790" r:id="rId2788" tooltip="🔗 Ver Mapa" display="🔗 Ver Mapa"/>
    <hyperlink ref="L2791" r:id="rId2789" tooltip="🔗 Ver Mapa" display="🔗 Ver Mapa"/>
    <hyperlink ref="L2792" r:id="rId2790" tooltip="🔗 Ver Mapa" display="🔗 Ver Mapa"/>
    <hyperlink ref="L2793" r:id="rId2791" tooltip="🔗 Ver Mapa" display="🔗 Ver Mapa"/>
    <hyperlink ref="L2794" r:id="rId2792" tooltip="🔗 Ver Mapa" display="🔗 Ver Mapa"/>
    <hyperlink ref="L2795" r:id="rId2793" tooltip="🔗 Ver Mapa" display="🔗 Ver Mapa"/>
    <hyperlink ref="L2796" r:id="rId2794" tooltip="🔗 Ver Mapa" display="🔗 Ver Mapa"/>
    <hyperlink ref="L2797" r:id="rId2795" tooltip="🔗 Ver Mapa" display="🔗 Ver Mapa"/>
    <hyperlink ref="L2798" r:id="rId2796" tooltip="🔗 Ver Mapa" display="🔗 Ver Mapa"/>
    <hyperlink ref="L2799" r:id="rId2797" tooltip="🔗 Ver Mapa" display="🔗 Ver Mapa"/>
    <hyperlink ref="L2800" r:id="rId2798" tooltip="🔗 Ver Mapa" display="🔗 Ver Mapa"/>
    <hyperlink ref="L2801" r:id="rId2799" tooltip="🔗 Ver Mapa" display="🔗 Ver Mapa"/>
    <hyperlink ref="L2802" r:id="rId2800" tooltip="🔗 Ver Mapa" display="🔗 Ver Mapa"/>
    <hyperlink ref="L2803" r:id="rId2801" tooltip="🔗 Ver Mapa" display="🔗 Ver Mapa"/>
    <hyperlink ref="L2804" r:id="rId2802" tooltip="🔗 Ver Mapa" display="🔗 Ver Mapa"/>
    <hyperlink ref="L2805" r:id="rId2803" tooltip="🔗 Ver Mapa" display="🔗 Ver Mapa"/>
    <hyperlink ref="L2806" r:id="rId2804" tooltip="🔗 Ver Mapa" display="🔗 Ver Mapa"/>
    <hyperlink ref="L2807" r:id="rId2805" tooltip="🔗 Ver Mapa" display="🔗 Ver Mapa"/>
    <hyperlink ref="L2808" r:id="rId2806" tooltip="🔗 Ver Mapa" display="🔗 Ver Mapa"/>
    <hyperlink ref="L2809" r:id="rId2807" tooltip="🔗 Ver Mapa" display="🔗 Ver Mapa"/>
    <hyperlink ref="L2810" r:id="rId2808" tooltip="🔗 Ver Mapa" display="🔗 Ver Mapa"/>
    <hyperlink ref="L2811" r:id="rId2809" tooltip="🔗 Ver Mapa" display="🔗 Ver Mapa"/>
    <hyperlink ref="L2812" r:id="rId2810" tooltip="🔗 Ver Mapa" display="🔗 Ver Mapa"/>
    <hyperlink ref="L2813" r:id="rId2811" tooltip="🔗 Ver Mapa" display="🔗 Ver Mapa"/>
    <hyperlink ref="L2814" r:id="rId2812" tooltip="🔗 Ver Mapa" display="🔗 Ver Mapa"/>
    <hyperlink ref="L2815" r:id="rId2813" tooltip="🔗 Ver Mapa" display="🔗 Ver Mapa"/>
    <hyperlink ref="L2816" r:id="rId2814" tooltip="🔗 Ver Mapa" display="🔗 Ver Mapa"/>
    <hyperlink ref="L2817" r:id="rId2815" tooltip="🔗 Ver Mapa" display="🔗 Ver Mapa"/>
    <hyperlink ref="L2818" r:id="rId2816" tooltip="🔗 Ver Mapa" display="🔗 Ver Mapa"/>
    <hyperlink ref="L2819" r:id="rId2817" tooltip="🔗 Ver Mapa" display="🔗 Ver Mapa"/>
    <hyperlink ref="L2820" r:id="rId2818" tooltip="🔗 Ver Mapa" display="🔗 Ver Mapa"/>
    <hyperlink ref="L2821" r:id="rId2819" tooltip="🔗 Ver Mapa" display="🔗 Ver Mapa"/>
    <hyperlink ref="L2822" r:id="rId2820" tooltip="🔗 Ver Mapa" display="🔗 Ver Mapa"/>
    <hyperlink ref="L2823" r:id="rId2821" tooltip="🔗 Ver Mapa" display="🔗 Ver Mapa"/>
    <hyperlink ref="L2824" r:id="rId2822" tooltip="🔗 Ver Mapa" display="🔗 Ver Mapa"/>
    <hyperlink ref="L2825" r:id="rId2823" tooltip="🔗 Ver Mapa" display="🔗 Ver Mapa"/>
    <hyperlink ref="L2826" r:id="rId2824" tooltip="🔗 Ver Mapa" display="🔗 Ver Mapa"/>
    <hyperlink ref="L2827" r:id="rId2825" tooltip="🔗 Ver Mapa" display="🔗 Ver Mapa"/>
    <hyperlink ref="L2828" r:id="rId2826" tooltip="🔗 Ver Mapa" display="🔗 Ver Mapa"/>
    <hyperlink ref="L2829" r:id="rId2827" tooltip="🔗 Ver Mapa" display="🔗 Ver Mapa"/>
    <hyperlink ref="L2830" r:id="rId2828" tooltip="🔗 Ver Mapa" display="🔗 Ver Mapa"/>
    <hyperlink ref="L2831" r:id="rId2829" tooltip="🔗 Ver Mapa" display="🔗 Ver Mapa"/>
    <hyperlink ref="L2832" r:id="rId2830" tooltip="🔗 Ver Mapa" display="🔗 Ver Mapa"/>
    <hyperlink ref="L2833" r:id="rId2831" tooltip="🔗 Ver Mapa" display="🔗 Ver Mapa"/>
    <hyperlink ref="L2834" r:id="rId2832" tooltip="🔗 Ver Mapa" display="🔗 Ver Mapa"/>
    <hyperlink ref="L2835" r:id="rId2833" tooltip="🔗 Ver Mapa" display="🔗 Ver Mapa"/>
    <hyperlink ref="L2836" r:id="rId2834" tooltip="🔗 Ver Mapa" display="🔗 Ver Mapa"/>
    <hyperlink ref="L2837" r:id="rId2835" tooltip="🔗 Ver Mapa" display="🔗 Ver Mapa"/>
    <hyperlink ref="L2838" r:id="rId2836" tooltip="🔗 Ver Mapa" display="🔗 Ver Mapa"/>
    <hyperlink ref="L2839" r:id="rId2837" tooltip="🔗 Ver Mapa" display="🔗 Ver Mapa"/>
    <hyperlink ref="L2840" r:id="rId2838" tooltip="🔗 Ver Mapa" display="🔗 Ver Mapa"/>
    <hyperlink ref="L2841" r:id="rId2839" tooltip="🔗 Ver Mapa" display="🔗 Ver Mapa"/>
    <hyperlink ref="L2842" r:id="rId2840" tooltip="🔗 Ver Mapa" display="🔗 Ver Mapa"/>
    <hyperlink ref="L2843" r:id="rId2841" tooltip="🔗 Ver Mapa" display="🔗 Ver Mapa"/>
    <hyperlink ref="L2844" r:id="rId2842" tooltip="🔗 Ver Mapa" display="🔗 Ver Mapa"/>
    <hyperlink ref="L2845" r:id="rId2843" tooltip="🔗 Ver Mapa" display="🔗 Ver Mapa"/>
    <hyperlink ref="L2846" r:id="rId2844" tooltip="🔗 Ver Mapa" display="🔗 Ver Mapa"/>
    <hyperlink ref="L2847" r:id="rId2845" tooltip="🔗 Ver Mapa" display="🔗 Ver Mapa"/>
    <hyperlink ref="L2848" r:id="rId2846" tooltip="🔗 Ver Mapa" display="🔗 Ver Mapa"/>
    <hyperlink ref="L2849" r:id="rId2847" tooltip="🔗 Ver Mapa" display="🔗 Ver Mapa"/>
    <hyperlink ref="L2850" r:id="rId2848" tooltip="🔗 Ver Mapa" display="🔗 Ver Mapa"/>
    <hyperlink ref="L2851" r:id="rId2849" tooltip="🔗 Ver Mapa" display="🔗 Ver Mapa"/>
    <hyperlink ref="L2852" r:id="rId2850" tooltip="🔗 Ver Mapa" display="🔗 Ver Mapa"/>
    <hyperlink ref="L2853" r:id="rId2851" tooltip="🔗 Ver Mapa" display="🔗 Ver Mapa"/>
    <hyperlink ref="L2854" r:id="rId2852" tooltip="🔗 Ver Mapa" display="🔗 Ver Mapa"/>
    <hyperlink ref="L2855" r:id="rId2853" tooltip="🔗 Ver Mapa" display="🔗 Ver Mapa"/>
    <hyperlink ref="L2856" r:id="rId2854" tooltip="🔗 Ver Mapa" display="🔗 Ver Mapa"/>
    <hyperlink ref="L2857" r:id="rId2855" tooltip="🔗 Ver Mapa" display="🔗 Ver Mapa"/>
    <hyperlink ref="L2858" r:id="rId2856" tooltip="🔗 Ver Mapa" display="🔗 Ver Mapa"/>
    <hyperlink ref="L2859" r:id="rId2857" tooltip="🔗 Ver Mapa" display="🔗 Ver Mapa"/>
    <hyperlink ref="L2860" r:id="rId2858" tooltip="🔗 Ver Mapa" display="🔗 Ver Mapa"/>
    <hyperlink ref="L2861" r:id="rId2859" tooltip="🔗 Ver Mapa" display="🔗 Ver Mapa"/>
    <hyperlink ref="L2862" r:id="rId2860" tooltip="🔗 Ver Mapa" display="🔗 Ver Mapa"/>
    <hyperlink ref="L2863" r:id="rId2861" tooltip="🔗 Ver Mapa" display="🔗 Ver Mapa"/>
    <hyperlink ref="L2864" r:id="rId2862" tooltip="🔗 Ver Mapa" display="🔗 Ver Mapa"/>
    <hyperlink ref="L2865" r:id="rId2863" tooltip="🔗 Ver Mapa" display="🔗 Ver Mapa"/>
    <hyperlink ref="L2866" r:id="rId2864" tooltip="🔗 Ver Mapa" display="🔗 Ver Mapa"/>
    <hyperlink ref="L2867" r:id="rId2865" tooltip="🔗 Ver Mapa" display="🔗 Ver Mapa"/>
    <hyperlink ref="L2868" r:id="rId2866" tooltip="🔗 Ver Mapa" display="🔗 Ver Mapa"/>
    <hyperlink ref="L2869" r:id="rId2867" tooltip="🔗 Ver Mapa" display="🔗 Ver Mapa"/>
    <hyperlink ref="L2870" r:id="rId2868" tooltip="🔗 Ver Mapa" display="🔗 Ver Mapa"/>
    <hyperlink ref="L2871" r:id="rId2869" tooltip="🔗 Ver Mapa" display="🔗 Ver Mapa"/>
    <hyperlink ref="L2872" r:id="rId2870" tooltip="🔗 Ver Mapa" display="🔗 Ver Mapa"/>
    <hyperlink ref="L2873" r:id="rId2871" tooltip="🔗 Ver Mapa" display="🔗 Ver Mapa"/>
    <hyperlink ref="L2874" r:id="rId2872" tooltip="🔗 Ver Mapa" display="🔗 Ver Mapa"/>
    <hyperlink ref="L2875" r:id="rId2873" tooltip="🔗 Ver Mapa" display="🔗 Ver Mapa"/>
    <hyperlink ref="L2876" r:id="rId2874" tooltip="🔗 Ver Mapa" display="🔗 Ver Mapa"/>
    <hyperlink ref="L2877" r:id="rId2875" tooltip="🔗 Ver Mapa" display="🔗 Ver Mapa"/>
    <hyperlink ref="L2878" r:id="rId2876" tooltip="🔗 Ver Mapa" display="🔗 Ver Mapa"/>
    <hyperlink ref="L2879" r:id="rId2877" tooltip="🔗 Ver Mapa" display="🔗 Ver Mapa"/>
    <hyperlink ref="L2880" r:id="rId2878" tooltip="🔗 Ver Mapa" display="🔗 Ver Mapa"/>
    <hyperlink ref="L2881" r:id="rId2879" tooltip="🔗 Ver Mapa" display="🔗 Ver Mapa"/>
    <hyperlink ref="L2882" r:id="rId2880" tooltip="🔗 Ver Mapa" display="🔗 Ver Mapa"/>
    <hyperlink ref="L2883" r:id="rId2881" tooltip="🔗 Ver Mapa" display="🔗 Ver Mapa"/>
    <hyperlink ref="L2884" r:id="rId2882" tooltip="🔗 Ver Mapa" display="🔗 Ver Mapa"/>
    <hyperlink ref="L2885" r:id="rId2883" tooltip="🔗 Ver Mapa" display="🔗 Ver Mapa"/>
    <hyperlink ref="L2886" r:id="rId2884" tooltip="🔗 Ver Mapa" display="🔗 Ver Mapa"/>
    <hyperlink ref="L2887" r:id="rId2885" tooltip="🔗 Ver Mapa" display="🔗 Ver Mapa"/>
    <hyperlink ref="L2888" r:id="rId2886" tooltip="🔗 Ver Mapa" display="🔗 Ver Mapa"/>
    <hyperlink ref="L2889" r:id="rId2887" tooltip="🔗 Ver Mapa" display="🔗 Ver Mapa"/>
    <hyperlink ref="L2890" r:id="rId2888" tooltip="🔗 Ver Mapa" display="🔗 Ver Mapa"/>
    <hyperlink ref="L2891" r:id="rId2889" tooltip="🔗 Ver Mapa" display="🔗 Ver Mapa"/>
    <hyperlink ref="L2892" r:id="rId2890" tooltip="🔗 Ver Mapa" display="🔗 Ver Mapa"/>
    <hyperlink ref="L2893" r:id="rId2891" tooltip="🔗 Ver Mapa" display="🔗 Ver Mapa"/>
    <hyperlink ref="L2894" r:id="rId2892" tooltip="🔗 Ver Mapa" display="🔗 Ver Mapa"/>
    <hyperlink ref="L2895" r:id="rId2893" tooltip="🔗 Ver Mapa" display="🔗 Ver Mapa"/>
    <hyperlink ref="L2896" r:id="rId2894" tooltip="🔗 Ver Mapa" display="🔗 Ver Mapa"/>
    <hyperlink ref="L2897" r:id="rId2895" tooltip="🔗 Ver Mapa" display="🔗 Ver Mapa"/>
    <hyperlink ref="L2898" r:id="rId2896" tooltip="🔗 Ver Mapa" display="🔗 Ver Mapa"/>
    <hyperlink ref="L2899" r:id="rId2897" tooltip="🔗 Ver Mapa" display="🔗 Ver Mapa"/>
    <hyperlink ref="L2900" r:id="rId2898" tooltip="🔗 Ver Mapa" display="🔗 Ver Mapa"/>
    <hyperlink ref="L2901" r:id="rId2899" tooltip="🔗 Ver Mapa" display="🔗 Ver Mapa"/>
    <hyperlink ref="L2902" r:id="rId2900" tooltip="🔗 Ver Mapa" display="🔗 Ver Mapa"/>
    <hyperlink ref="L2903" r:id="rId2901" tooltip="🔗 Ver Mapa" display="🔗 Ver Mapa"/>
    <hyperlink ref="L2904" r:id="rId2902" tooltip="🔗 Ver Mapa" display="🔗 Ver Mapa"/>
    <hyperlink ref="L2905" r:id="rId2903" tooltip="🔗 Ver Mapa" display="🔗 Ver Mapa"/>
    <hyperlink ref="L2906" r:id="rId2904" tooltip="🔗 Ver Mapa" display="🔗 Ver Mapa"/>
    <hyperlink ref="L2907" r:id="rId2905" tooltip="🔗 Ver Mapa" display="🔗 Ver Mapa"/>
    <hyperlink ref="L2908" r:id="rId2906" tooltip="🔗 Ver Mapa" display="🔗 Ver Mapa"/>
    <hyperlink ref="L2909" r:id="rId2907" tooltip="🔗 Ver Mapa" display="🔗 Ver Mapa"/>
    <hyperlink ref="L2910" r:id="rId2908" tooltip="🔗 Ver Mapa" display="🔗 Ver Mapa"/>
    <hyperlink ref="L2911" r:id="rId2909" tooltip="🔗 Ver Mapa" display="🔗 Ver Mapa"/>
    <hyperlink ref="L2912" r:id="rId2910" tooltip="🔗 Ver Mapa" display="🔗 Ver Mapa"/>
    <hyperlink ref="L2913" r:id="rId2911" tooltip="🔗 Ver Mapa" display="🔗 Ver Mapa"/>
    <hyperlink ref="L2914" r:id="rId2912" tooltip="🔗 Ver Mapa" display="🔗 Ver Mapa"/>
    <hyperlink ref="L2915" r:id="rId2913" tooltip="🔗 Ver Mapa" display="🔗 Ver Mapa"/>
    <hyperlink ref="L2916" r:id="rId2914" tooltip="🔗 Ver Mapa" display="🔗 Ver Mapa"/>
    <hyperlink ref="L2917" r:id="rId2915" tooltip="🔗 Ver Mapa" display="🔗 Ver Mapa"/>
    <hyperlink ref="L2918" r:id="rId2916" tooltip="🔗 Ver Mapa" display="🔗 Ver Mapa"/>
    <hyperlink ref="L2919" r:id="rId2917" tooltip="🔗 Ver Mapa" display="🔗 Ver Mapa"/>
    <hyperlink ref="L2920" r:id="rId2918" tooltip="🔗 Ver Mapa" display="🔗 Ver Mapa"/>
    <hyperlink ref="L2921" r:id="rId2919" tooltip="🔗 Ver Mapa" display="🔗 Ver Mapa"/>
    <hyperlink ref="L2922" r:id="rId2920" tooltip="🔗 Ver Mapa" display="🔗 Ver Mapa"/>
    <hyperlink ref="L2923" r:id="rId2921" tooltip="🔗 Ver Mapa" display="🔗 Ver Mapa"/>
    <hyperlink ref="L2924" r:id="rId2922" tooltip="🔗 Ver Mapa" display="🔗 Ver Mapa"/>
    <hyperlink ref="L2925" r:id="rId2923" tooltip="🔗 Ver Mapa" display="🔗 Ver Mapa"/>
    <hyperlink ref="L2926" r:id="rId2924" tooltip="🔗 Ver Mapa" display="🔗 Ver Mapa"/>
    <hyperlink ref="L2927" r:id="rId2925" tooltip="🔗 Ver Mapa" display="🔗 Ver Mapa"/>
    <hyperlink ref="L2928" r:id="rId2926" tooltip="🔗 Ver Mapa" display="🔗 Ver Mapa"/>
    <hyperlink ref="L2929" r:id="rId2927" tooltip="🔗 Ver Mapa" display="🔗 Ver Mapa"/>
    <hyperlink ref="L2930" r:id="rId2928" tooltip="🔗 Ver Mapa" display="🔗 Ver Mapa"/>
    <hyperlink ref="L2931" r:id="rId2929" tooltip="🔗 Ver Mapa" display="🔗 Ver Mapa"/>
    <hyperlink ref="L2932" r:id="rId2930" tooltip="🔗 Ver Mapa" display="🔗 Ver Mapa"/>
    <hyperlink ref="L2933" r:id="rId2931" tooltip="🔗 Ver Mapa" display="🔗 Ver Mapa"/>
    <hyperlink ref="L2934" r:id="rId2932" tooltip="🔗 Ver Mapa" display="🔗 Ver Mapa"/>
    <hyperlink ref="L2935" r:id="rId2933" tooltip="🔗 Ver Mapa" display="🔗 Ver Mapa"/>
    <hyperlink ref="L2936" r:id="rId2934" tooltip="🔗 Ver Mapa" display="🔗 Ver Mapa"/>
    <hyperlink ref="L2937" r:id="rId2935" tooltip="🔗 Ver Mapa" display="🔗 Ver Mapa"/>
    <hyperlink ref="L2938" r:id="rId2936" tooltip="🔗 Ver Mapa" display="🔗 Ver Mapa"/>
    <hyperlink ref="L2939" r:id="rId2937" tooltip="🔗 Ver Mapa" display="🔗 Ver Mapa"/>
    <hyperlink ref="L2940" r:id="rId2938" tooltip="🔗 Ver Mapa" display="🔗 Ver Mapa"/>
    <hyperlink ref="L2941" r:id="rId2939" tooltip="🔗 Ver Mapa" display="🔗 Ver Mapa"/>
    <hyperlink ref="L2942" r:id="rId2940" tooltip="🔗 Ver Mapa" display="🔗 Ver Mapa"/>
    <hyperlink ref="L2943" r:id="rId2941" tooltip="🔗 Ver Mapa" display="🔗 Ver Mapa"/>
    <hyperlink ref="L2944" r:id="rId2942" tooltip="🔗 Ver Mapa" display="🔗 Ver Mapa"/>
    <hyperlink ref="L2945" r:id="rId2943" tooltip="🔗 Ver Mapa" display="🔗 Ver Mapa"/>
    <hyperlink ref="L2946" r:id="rId2944" tooltip="🔗 Ver Mapa" display="🔗 Ver Mapa"/>
    <hyperlink ref="L2947" r:id="rId2945" tooltip="🔗 Ver Mapa" display="🔗 Ver Mapa"/>
    <hyperlink ref="L2948" r:id="rId2946" tooltip="🔗 Ver Mapa" display="🔗 Ver Mapa"/>
    <hyperlink ref="L2949" r:id="rId2947" tooltip="🔗 Ver Mapa" display="🔗 Ver Mapa"/>
    <hyperlink ref="L2950" r:id="rId2948" tooltip="🔗 Ver Mapa" display="🔗 Ver Mapa"/>
    <hyperlink ref="L2951" r:id="rId2949" tooltip="🔗 Ver Mapa" display="🔗 Ver Mapa"/>
    <hyperlink ref="L2952" r:id="rId2950" tooltip="🔗 Ver Mapa" display="🔗 Ver Mapa"/>
    <hyperlink ref="L2953" r:id="rId2951" tooltip="🔗 Ver Mapa" display="🔗 Ver Mapa"/>
    <hyperlink ref="L2954" r:id="rId2952" tooltip="🔗 Ver Mapa" display="🔗 Ver Mapa"/>
    <hyperlink ref="L2955" r:id="rId2953" tooltip="🔗 Ver Mapa" display="🔗 Ver Mapa"/>
    <hyperlink ref="L2956" r:id="rId2954" tooltip="🔗 Ver Mapa" display="🔗 Ver Mapa"/>
    <hyperlink ref="L2957" r:id="rId2955" tooltip="🔗 Ver Mapa" display="🔗 Ver Mapa"/>
    <hyperlink ref="L2958" r:id="rId2956" tooltip="🔗 Ver Mapa" display="🔗 Ver Mapa"/>
    <hyperlink ref="L2959" r:id="rId2957" tooltip="🔗 Ver Mapa" display="🔗 Ver Mapa"/>
    <hyperlink ref="L2960" r:id="rId2958" tooltip="🔗 Ver Mapa" display="🔗 Ver Mapa"/>
    <hyperlink ref="L2961" r:id="rId2959" tooltip="🔗 Ver Mapa" display="🔗 Ver Mapa"/>
    <hyperlink ref="L2962" r:id="rId2960" tooltip="🔗 Ver Mapa" display="🔗 Ver Mapa"/>
    <hyperlink ref="L2963" r:id="rId2961" tooltip="🔗 Ver Mapa" display="🔗 Ver Mapa"/>
    <hyperlink ref="L2964" r:id="rId2962" tooltip="🔗 Ver Mapa" display="🔗 Ver Mapa"/>
    <hyperlink ref="L2965" r:id="rId2963" tooltip="🔗 Ver Mapa" display="🔗 Ver Mapa"/>
    <hyperlink ref="L2966" r:id="rId2964" tooltip="🔗 Ver Mapa" display="🔗 Ver Mapa"/>
    <hyperlink ref="L2967" r:id="rId2965" tooltip="🔗 Ver Mapa" display="🔗 Ver Mapa"/>
    <hyperlink ref="L2968" r:id="rId2966" tooltip="🔗 Ver Mapa" display="🔗 Ver Mapa"/>
    <hyperlink ref="L2969" r:id="rId2967" tooltip="🔗 Ver Mapa" display="🔗 Ver Mapa"/>
    <hyperlink ref="L2970" r:id="rId2968" tooltip="🔗 Ver Mapa" display="🔗 Ver Mapa"/>
    <hyperlink ref="L2971" r:id="rId2969" tooltip="🔗 Ver Mapa" display="🔗 Ver Mapa"/>
    <hyperlink ref="L2972" r:id="rId2970" tooltip="🔗 Ver Mapa" display="🔗 Ver Mapa"/>
    <hyperlink ref="L2973" r:id="rId2971" tooltip="🔗 Ver Mapa" display="🔗 Ver Mapa"/>
    <hyperlink ref="L2974" r:id="rId2972" tooltip="🔗 Ver Mapa" display="🔗 Ver Mapa"/>
    <hyperlink ref="L2975" r:id="rId2973" tooltip="🔗 Ver Mapa" display="🔗 Ver Mapa"/>
    <hyperlink ref="L2976" r:id="rId2974" tooltip="🔗 Ver Mapa" display="🔗 Ver Mapa"/>
    <hyperlink ref="L2977" r:id="rId2975" tooltip="🔗 Ver Mapa" display="🔗 Ver Mapa"/>
    <hyperlink ref="L2978" r:id="rId2976" tooltip="🔗 Ver Mapa" display="🔗 Ver Mapa"/>
    <hyperlink ref="L2979" r:id="rId2977" tooltip="🔗 Ver Mapa" display="🔗 Ver Mapa"/>
    <hyperlink ref="L2980" r:id="rId2978" tooltip="🔗 Ver Mapa" display="🔗 Ver Mapa"/>
    <hyperlink ref="L2981" r:id="rId2979" tooltip="🔗 Ver Mapa" display="🔗 Ver Mapa"/>
    <hyperlink ref="L2982" r:id="rId2980" tooltip="🔗 Ver Mapa" display="🔗 Ver Mapa"/>
    <hyperlink ref="L2983" r:id="rId2981" tooltip="🔗 Ver Mapa" display="🔗 Ver Mapa"/>
    <hyperlink ref="L2984" r:id="rId2982" tooltip="🔗 Ver Mapa" display="🔗 Ver Mapa"/>
    <hyperlink ref="L2985" r:id="rId2983" tooltip="🔗 Ver Mapa" display="🔗 Ver Mapa"/>
    <hyperlink ref="L2986" r:id="rId2984" tooltip="🔗 Ver Mapa" display="🔗 Ver Mapa"/>
    <hyperlink ref="L2987" r:id="rId2985" tooltip="🔗 Ver Mapa" display="🔗 Ver Mapa"/>
    <hyperlink ref="L2988" r:id="rId2986" tooltip="🔗 Ver Mapa" display="🔗 Ver Mapa"/>
    <hyperlink ref="L2989" r:id="rId2987" tooltip="🔗 Ver Mapa" display="🔗 Ver Mapa"/>
    <hyperlink ref="L2990" r:id="rId2988" tooltip="🔗 Ver Mapa" display="🔗 Ver Mapa"/>
    <hyperlink ref="L2991" r:id="rId2989" tooltip="🔗 Ver Mapa" display="🔗 Ver Mapa"/>
    <hyperlink ref="L2992" r:id="rId2990" tooltip="🔗 Ver Mapa" display="🔗 Ver Mapa"/>
    <hyperlink ref="L2993" r:id="rId2991" tooltip="🔗 Ver Mapa" display="🔗 Ver Mapa"/>
    <hyperlink ref="L2994" r:id="rId2992" tooltip="🔗 Ver Mapa" display="🔗 Ver Mapa"/>
    <hyperlink ref="L2995" r:id="rId2993" tooltip="🔗 Ver Mapa" display="🔗 Ver Mapa"/>
    <hyperlink ref="L2996" r:id="rId2994" tooltip="🔗 Ver Mapa" display="🔗 Ver Mapa"/>
    <hyperlink ref="L2997" r:id="rId2995" tooltip="🔗 Ver Mapa" display="🔗 Ver Mapa"/>
    <hyperlink ref="L2998" r:id="rId2996" tooltip="🔗 Ver Mapa" display="🔗 Ver Mapa"/>
    <hyperlink ref="L2999" r:id="rId2997" tooltip="🔗 Ver Mapa" display="🔗 Ver Mapa"/>
    <hyperlink ref="L3000" r:id="rId2998" tooltip="🔗 Ver Mapa" display="🔗 Ver Mapa"/>
    <hyperlink ref="L3001" r:id="rId2999" tooltip="🔗 Ver Mapa" display="🔗 Ver Mapa"/>
    <hyperlink ref="L3002" r:id="rId3000" tooltip="🔗 Ver Mapa" display="🔗 Ver Mapa"/>
    <hyperlink ref="L3003" r:id="rId3001" tooltip="🔗 Ver Mapa" display="🔗 Ver Mapa"/>
    <hyperlink ref="L3004" r:id="rId3002" tooltip="🔗 Ver Mapa" display="🔗 Ver Mapa"/>
    <hyperlink ref="L3005" r:id="rId3003" tooltip="🔗 Ver Mapa" display="🔗 Ver Mapa"/>
    <hyperlink ref="L3006" r:id="rId3004" tooltip="🔗 Ver Mapa" display="🔗 Ver Mapa"/>
    <hyperlink ref="L3007" r:id="rId3005" tooltip="🔗 Ver Mapa" display="🔗 Ver Mapa"/>
    <hyperlink ref="L3008" r:id="rId3006" tooltip="🔗 Ver Mapa" display="🔗 Ver Mapa"/>
    <hyperlink ref="L3009" r:id="rId3007" tooltip="🔗 Ver Mapa" display="🔗 Ver Mapa"/>
    <hyperlink ref="L3010" r:id="rId3008" tooltip="🔗 Ver Mapa" display="🔗 Ver Mapa"/>
    <hyperlink ref="L3011" r:id="rId3009" tooltip="🔗 Ver Mapa" display="🔗 Ver Mapa"/>
    <hyperlink ref="L3012" r:id="rId3010" tooltip="🔗 Ver Mapa" display="🔗 Ver Mapa"/>
    <hyperlink ref="L3013" r:id="rId3011" tooltip="🔗 Ver Mapa" display="🔗 Ver Mapa"/>
    <hyperlink ref="L3014" r:id="rId3012" tooltip="🔗 Ver Mapa" display="🔗 Ver Mapa"/>
    <hyperlink ref="L3015" r:id="rId3013" tooltip="🔗 Ver Mapa" display="🔗 Ver Mapa"/>
    <hyperlink ref="L3016" r:id="rId3014" tooltip="🔗 Ver Mapa" display="🔗 Ver Mapa"/>
    <hyperlink ref="L3017" r:id="rId3015" tooltip="🔗 Ver Mapa" display="🔗 Ver Mapa"/>
    <hyperlink ref="L3018" r:id="rId3016" tooltip="🔗 Ver Mapa" display="🔗 Ver Mapa"/>
    <hyperlink ref="L3019" r:id="rId3017" tooltip="🔗 Ver Mapa" display="🔗 Ver Mapa"/>
    <hyperlink ref="L3020" r:id="rId3018" tooltip="🔗 Ver Mapa" display="🔗 Ver Mapa"/>
    <hyperlink ref="L3021" r:id="rId3019" tooltip="🔗 Ver Mapa" display="🔗 Ver Mapa"/>
    <hyperlink ref="L3022" r:id="rId3020" tooltip="🔗 Ver Mapa" display="🔗 Ver Mapa"/>
    <hyperlink ref="L3023" r:id="rId3021" tooltip="🔗 Ver Mapa" display="🔗 Ver Mapa"/>
    <hyperlink ref="L3024" r:id="rId3022" tooltip="🔗 Ver Mapa" display="🔗 Ver Mapa"/>
    <hyperlink ref="L3025" r:id="rId3023" tooltip="🔗 Ver Mapa" display="🔗 Ver Mapa"/>
    <hyperlink ref="L3026" r:id="rId3024" tooltip="🔗 Ver Mapa" display="🔗 Ver Mapa"/>
    <hyperlink ref="L3027" r:id="rId3025" tooltip="🔗 Ver Mapa" display="🔗 Ver Mapa"/>
    <hyperlink ref="L3028" r:id="rId3026" tooltip="🔗 Ver Mapa" display="🔗 Ver Mapa"/>
    <hyperlink ref="L3029" r:id="rId3027" tooltip="🔗 Ver Mapa" display="🔗 Ver Mapa"/>
    <hyperlink ref="L3030" r:id="rId3028" tooltip="🔗 Ver Mapa" display="🔗 Ver Mapa"/>
    <hyperlink ref="L3031" r:id="rId3029" tooltip="🔗 Ver Mapa" display="🔗 Ver Mapa"/>
    <hyperlink ref="L3032" r:id="rId3030" tooltip="🔗 Ver Mapa" display="🔗 Ver Mapa"/>
    <hyperlink ref="L3033" r:id="rId3031" tooltip="🔗 Ver Mapa" display="🔗 Ver Mapa"/>
    <hyperlink ref="L3034" r:id="rId3032" tooltip="🔗 Ver Mapa" display="🔗 Ver Mapa"/>
    <hyperlink ref="L3035" r:id="rId3033" tooltip="🔗 Ver Mapa" display="🔗 Ver Mapa"/>
    <hyperlink ref="L3036" r:id="rId3034" tooltip="🔗 Ver Mapa" display="🔗 Ver Mapa"/>
    <hyperlink ref="L3037" r:id="rId3035" tooltip="🔗 Ver Mapa" display="🔗 Ver Mapa"/>
    <hyperlink ref="L3038" r:id="rId3036" tooltip="🔗 Ver Mapa" display="🔗 Ver Mapa"/>
    <hyperlink ref="L3039" r:id="rId3037" tooltip="🔗 Ver Mapa" display="🔗 Ver Mapa"/>
    <hyperlink ref="L3040" r:id="rId3038" tooltip="🔗 Ver Mapa" display="🔗 Ver Mapa"/>
    <hyperlink ref="L3041" r:id="rId3039" tooltip="🔗 Ver Mapa" display="🔗 Ver Mapa"/>
    <hyperlink ref="L3042" r:id="rId3040" tooltip="🔗 Ver Mapa" display="🔗 Ver Mapa"/>
    <hyperlink ref="L3043" r:id="rId3041" tooltip="🔗 Ver Mapa" display="🔗 Ver Mapa"/>
    <hyperlink ref="L3044" r:id="rId3042" tooltip="🔗 Ver Mapa" display="🔗 Ver Mapa"/>
    <hyperlink ref="L3045" r:id="rId3043" tooltip="🔗 Ver Mapa" display="🔗 Ver Mapa"/>
    <hyperlink ref="L3046" r:id="rId3044" tooltip="🔗 Ver Mapa" display="🔗 Ver Mapa"/>
    <hyperlink ref="L3047" r:id="rId3045" tooltip="🔗 Ver Mapa" display="🔗 Ver Mapa"/>
    <hyperlink ref="L3048" r:id="rId3046" tooltip="🔗 Ver Mapa" display="🔗 Ver Mapa"/>
    <hyperlink ref="L3049" r:id="rId3047" tooltip="🔗 Ver Mapa" display="🔗 Ver Mapa"/>
    <hyperlink ref="L3050" r:id="rId3048" tooltip="🔗 Ver Mapa" display="🔗 Ver Mapa"/>
    <hyperlink ref="L3051" r:id="rId3049" tooltip="🔗 Ver Mapa" display="🔗 Ver Mapa"/>
    <hyperlink ref="L3052" r:id="rId3050" tooltip="🔗 Ver Mapa" display="🔗 Ver Mapa"/>
    <hyperlink ref="L3053" r:id="rId3051" tooltip="🔗 Ver Mapa" display="🔗 Ver Mapa"/>
    <hyperlink ref="L3054" r:id="rId3052" tooltip="🔗 Ver Mapa" display="🔗 Ver Mapa"/>
    <hyperlink ref="L3055" r:id="rId3053" tooltip="🔗 Ver Mapa" display="🔗 Ver Mapa"/>
    <hyperlink ref="L3056" r:id="rId3054" tooltip="🔗 Ver Mapa" display="🔗 Ver Mapa"/>
    <hyperlink ref="L3057" r:id="rId3055" tooltip="🔗 Ver Mapa" display="🔗 Ver Mapa"/>
    <hyperlink ref="L3058" r:id="rId3056" tooltip="🔗 Ver Mapa" display="🔗 Ver Mapa"/>
    <hyperlink ref="L3059" r:id="rId3057" tooltip="🔗 Ver Mapa" display="🔗 Ver Mapa"/>
    <hyperlink ref="L3060" r:id="rId3058" tooltip="🔗 Ver Mapa" display="🔗 Ver Mapa"/>
    <hyperlink ref="L3061" r:id="rId3059" tooltip="🔗 Ver Mapa" display="🔗 Ver Mapa"/>
    <hyperlink ref="L3062" r:id="rId3060" tooltip="🔗 Ver Mapa" display="🔗 Ver Mapa"/>
    <hyperlink ref="L3063" r:id="rId3061" tooltip="🔗 Ver Mapa" display="🔗 Ver Mapa"/>
    <hyperlink ref="L3064" r:id="rId3062" tooltip="🔗 Ver Mapa" display="🔗 Ver Mapa"/>
    <hyperlink ref="L3065" r:id="rId3063" tooltip="🔗 Ver Mapa" display="🔗 Ver Mapa"/>
    <hyperlink ref="L3066" r:id="rId3064" tooltip="🔗 Ver Mapa" display="🔗 Ver Mapa"/>
    <hyperlink ref="L3067" r:id="rId3065" tooltip="🔗 Ver Mapa" display="🔗 Ver Mapa"/>
    <hyperlink ref="L3068" r:id="rId3066" tooltip="🔗 Ver Mapa" display="🔗 Ver Mapa"/>
    <hyperlink ref="L3069" r:id="rId3067" tooltip="🔗 Ver Mapa" display="🔗 Ver Mapa"/>
    <hyperlink ref="L3070" r:id="rId3068" tooltip="🔗 Ver Mapa" display="🔗 Ver Mapa"/>
    <hyperlink ref="L3071" r:id="rId3069" tooltip="🔗 Ver Mapa" display="🔗 Ver Mapa"/>
    <hyperlink ref="L3072" r:id="rId3070" tooltip="🔗 Ver Mapa" display="🔗 Ver Mapa"/>
    <hyperlink ref="L3073" r:id="rId3071" tooltip="🔗 Ver Mapa" display="🔗 Ver Mapa"/>
    <hyperlink ref="L3074" r:id="rId3072" tooltip="🔗 Ver Mapa" display="🔗 Ver Mapa"/>
    <hyperlink ref="L3075" r:id="rId3073" tooltip="🔗 Ver Mapa" display="🔗 Ver Mapa"/>
    <hyperlink ref="L3076" r:id="rId3074" tooltip="🔗 Ver Mapa" display="🔗 Ver Mapa"/>
    <hyperlink ref="L3077" r:id="rId3075" tooltip="🔗 Ver Mapa" display="🔗 Ver Mapa"/>
    <hyperlink ref="L3078" r:id="rId3076" tooltip="🔗 Ver Mapa" display="🔗 Ver Mapa"/>
    <hyperlink ref="L3079" r:id="rId3077" tooltip="🔗 Ver Mapa" display="🔗 Ver Mapa"/>
    <hyperlink ref="L3080" r:id="rId3078" tooltip="🔗 Ver Mapa" display="🔗 Ver Mapa"/>
    <hyperlink ref="L3081" r:id="rId3079" tooltip="🔗 Ver Mapa" display="🔗 Ver Mapa"/>
    <hyperlink ref="L3082" r:id="rId3080" tooltip="🔗 Ver Mapa" display="🔗 Ver Mapa"/>
    <hyperlink ref="L3083" r:id="rId3081" tooltip="🔗 Ver Mapa" display="🔗 Ver Mapa"/>
    <hyperlink ref="L3084" r:id="rId3082" tooltip="🔗 Ver Mapa" display="🔗 Ver Mapa"/>
    <hyperlink ref="L3085" r:id="rId3083" tooltip="🔗 Ver Mapa" display="🔗 Ver Mapa"/>
    <hyperlink ref="L3086" r:id="rId3084" tooltip="🔗 Ver Mapa" display="🔗 Ver Mapa"/>
    <hyperlink ref="L3087" r:id="rId3085" tooltip="🔗 Ver Mapa" display="🔗 Ver Mapa"/>
    <hyperlink ref="L3088" r:id="rId3086" tooltip="🔗 Ver Mapa" display="🔗 Ver Mapa"/>
    <hyperlink ref="L3089" r:id="rId3087" tooltip="🔗 Ver Mapa" display="🔗 Ver Mapa"/>
    <hyperlink ref="L3090" r:id="rId3088" tooltip="🔗 Ver Mapa" display="🔗 Ver Mapa"/>
    <hyperlink ref="L3091" r:id="rId3089" tooltip="🔗 Ver Mapa" display="🔗 Ver Mapa"/>
    <hyperlink ref="L3092" r:id="rId3090" tooltip="🔗 Ver Mapa" display="🔗 Ver Mapa"/>
    <hyperlink ref="L3093" r:id="rId3091" tooltip="🔗 Ver Mapa" display="🔗 Ver Mapa"/>
    <hyperlink ref="L3094" r:id="rId3092" tooltip="🔗 Ver Mapa" display="🔗 Ver Mapa"/>
    <hyperlink ref="L3095" r:id="rId3093" tooltip="🔗 Ver Mapa" display="🔗 Ver Mapa"/>
    <hyperlink ref="L3096" r:id="rId3094" tooltip="🔗 Ver Mapa" display="🔗 Ver Mapa"/>
    <hyperlink ref="L3097" r:id="rId3095" tooltip="🔗 Ver Mapa" display="🔗 Ver Mapa"/>
    <hyperlink ref="L3098" r:id="rId3096" tooltip="🔗 Ver Mapa" display="🔗 Ver Mapa"/>
    <hyperlink ref="L3099" r:id="rId3097" tooltip="🔗 Ver Mapa" display="🔗 Ver Mapa"/>
    <hyperlink ref="L3100" r:id="rId3098" tooltip="🔗 Ver Mapa" display="🔗 Ver Mapa"/>
    <hyperlink ref="L3101" r:id="rId3099" tooltip="🔗 Ver Mapa" display="🔗 Ver Mapa"/>
    <hyperlink ref="L3102" r:id="rId3100" tooltip="🔗 Ver Mapa" display="🔗 Ver Mapa"/>
    <hyperlink ref="L3103" r:id="rId3101" tooltip="🔗 Ver Mapa" display="🔗 Ver Mapa"/>
    <hyperlink ref="L3104" r:id="rId3102" tooltip="🔗 Ver Mapa" display="🔗 Ver Mapa"/>
    <hyperlink ref="L3105" r:id="rId3103" tooltip="🔗 Ver Mapa" display="🔗 Ver Mapa"/>
    <hyperlink ref="L3106" r:id="rId3104" tooltip="🔗 Ver Mapa" display="🔗 Ver Mapa"/>
    <hyperlink ref="L3107" r:id="rId3105" tooltip="🔗 Ver Mapa" display="🔗 Ver Mapa"/>
    <hyperlink ref="L3108" r:id="rId3106" tooltip="🔗 Ver Mapa" display="🔗 Ver Mapa"/>
    <hyperlink ref="L3109" r:id="rId3107" tooltip="🔗 Ver Mapa" display="🔗 Ver Mapa"/>
    <hyperlink ref="L3110" r:id="rId3108" tooltip="🔗 Ver Mapa" display="🔗 Ver Mapa"/>
    <hyperlink ref="L3111" r:id="rId3109" tooltip="🔗 Ver Mapa" display="🔗 Ver Mapa"/>
    <hyperlink ref="L3112" r:id="rId3110" tooltip="🔗 Ver Mapa" display="🔗 Ver Mapa"/>
    <hyperlink ref="L3113" r:id="rId3111" tooltip="🔗 Ver Mapa" display="🔗 Ver Mapa"/>
    <hyperlink ref="L3114" r:id="rId3112" tooltip="🔗 Ver Mapa" display="🔗 Ver Mapa"/>
    <hyperlink ref="L3115" r:id="rId3113" tooltip="🔗 Ver Mapa" display="🔗 Ver Mapa"/>
    <hyperlink ref="L3116" r:id="rId3114" tooltip="🔗 Ver Mapa" display="🔗 Ver Mapa"/>
    <hyperlink ref="L3117" r:id="rId3115" tooltip="🔗 Ver Mapa" display="🔗 Ver Mapa"/>
    <hyperlink ref="L3118" r:id="rId3116" tooltip="🔗 Ver Mapa" display="🔗 Ver Mapa"/>
    <hyperlink ref="L3119" r:id="rId3117" tooltip="🔗 Ver Mapa" display="🔗 Ver Mapa"/>
    <hyperlink ref="L3120" r:id="rId3118" tooltip="🔗 Ver Mapa" display="🔗 Ver Mapa"/>
    <hyperlink ref="L3121" r:id="rId3119" tooltip="🔗 Ver Mapa" display="🔗 Ver Mapa"/>
    <hyperlink ref="L3122" r:id="rId3120" tooltip="🔗 Ver Mapa" display="🔗 Ver Mapa"/>
    <hyperlink ref="L3123" r:id="rId3121" tooltip="🔗 Ver Mapa" display="🔗 Ver Mapa"/>
    <hyperlink ref="L3124" r:id="rId3122" tooltip="🔗 Ver Mapa" display="🔗 Ver Mapa"/>
    <hyperlink ref="L3125" r:id="rId3123" tooltip="🔗 Ver Mapa" display="🔗 Ver Mapa"/>
    <hyperlink ref="L3126" r:id="rId3124" tooltip="🔗 Ver Mapa" display="🔗 Ver Mapa"/>
    <hyperlink ref="L3127" r:id="rId3125" tooltip="🔗 Ver Mapa" display="🔗 Ver Mapa"/>
    <hyperlink ref="L3128" r:id="rId3126" tooltip="🔗 Ver Mapa" display="🔗 Ver Mapa"/>
    <hyperlink ref="L3129" r:id="rId3127" tooltip="🔗 Ver Mapa" display="🔗 Ver Mapa"/>
    <hyperlink ref="L3130" r:id="rId3128" tooltip="🔗 Ver Mapa" display="🔗 Ver Mapa"/>
    <hyperlink ref="L3131" r:id="rId3129" tooltip="🔗 Ver Mapa" display="🔗 Ver Mapa"/>
    <hyperlink ref="L3132" r:id="rId3130" tooltip="🔗 Ver Mapa" display="🔗 Ver Mapa"/>
    <hyperlink ref="L3133" r:id="rId3131" tooltip="🔗 Ver Mapa" display="🔗 Ver Mapa"/>
    <hyperlink ref="L3134" r:id="rId3132" tooltip="🔗 Ver Mapa" display="🔗 Ver Mapa"/>
    <hyperlink ref="L3135" r:id="rId3133" tooltip="🔗 Ver Mapa" display="🔗 Ver Mapa"/>
    <hyperlink ref="L3136" r:id="rId3134" tooltip="🔗 Ver Mapa" display="🔗 Ver Mapa"/>
    <hyperlink ref="L3137" r:id="rId3135" tooltip="🔗 Ver Mapa" display="🔗 Ver Mapa"/>
    <hyperlink ref="L3138" r:id="rId3136" tooltip="🔗 Ver Mapa" display="🔗 Ver Mapa"/>
    <hyperlink ref="L3139" r:id="rId3137" tooltip="🔗 Ver Mapa" display="🔗 Ver Mapa"/>
    <hyperlink ref="L3140" r:id="rId3138" tooltip="🔗 Ver Mapa" display="🔗 Ver Mapa"/>
    <hyperlink ref="L3141" r:id="rId3139" tooltip="🔗 Ver Mapa" display="🔗 Ver Mapa"/>
    <hyperlink ref="L3142" r:id="rId3140" tooltip="🔗 Ver Mapa" display="🔗 Ver Mapa"/>
    <hyperlink ref="L3143" r:id="rId3141" tooltip="🔗 Ver Mapa" display="🔗 Ver Mapa"/>
    <hyperlink ref="L3144" r:id="rId3142" tooltip="🔗 Ver Mapa" display="🔗 Ver Mapa"/>
    <hyperlink ref="L3145" r:id="rId3143" tooltip="🔗 Ver Mapa" display="🔗 Ver Mapa"/>
    <hyperlink ref="L3146" r:id="rId3144" tooltip="🔗 Ver Mapa" display="🔗 Ver Mapa"/>
    <hyperlink ref="L3147" r:id="rId3145" tooltip="🔗 Ver Mapa" display="🔗 Ver Mapa"/>
    <hyperlink ref="L3148" r:id="rId3146" tooltip="🔗 Ver Mapa" display="🔗 Ver Mapa"/>
    <hyperlink ref="L3149" r:id="rId3147" tooltip="🔗 Ver Mapa" display="🔗 Ver Mapa"/>
    <hyperlink ref="L3150" r:id="rId3148" tooltip="🔗 Ver Mapa" display="🔗 Ver Mapa"/>
    <hyperlink ref="L3151" r:id="rId3149" tooltip="🔗 Ver Mapa" display="🔗 Ver Mapa"/>
    <hyperlink ref="L3152" r:id="rId3150" tooltip="🔗 Ver Mapa" display="🔗 Ver Mapa"/>
    <hyperlink ref="L3153" r:id="rId3151" tooltip="🔗 Ver Mapa" display="🔗 Ver Mapa"/>
    <hyperlink ref="L3154" r:id="rId3152" tooltip="🔗 Ver Mapa" display="🔗 Ver Mapa"/>
    <hyperlink ref="L3155" r:id="rId3153" tooltip="🔗 Ver Mapa" display="🔗 Ver Mapa"/>
    <hyperlink ref="L3156" r:id="rId3154" tooltip="🔗 Ver Mapa" display="🔗 Ver Mapa"/>
    <hyperlink ref="L3157" r:id="rId3155" tooltip="🔗 Ver Mapa" display="🔗 Ver Mapa"/>
    <hyperlink ref="L3158" r:id="rId3156" tooltip="🔗 Ver Mapa" display="🔗 Ver Mapa"/>
    <hyperlink ref="L3159" r:id="rId3157" tooltip="🔗 Ver Mapa" display="🔗 Ver Mapa"/>
    <hyperlink ref="L3160" r:id="rId3158" tooltip="🔗 Ver Mapa" display="🔗 Ver Mapa"/>
    <hyperlink ref="L3161" r:id="rId3159" tooltip="🔗 Ver Mapa" display="🔗 Ver Mapa"/>
    <hyperlink ref="L3162" r:id="rId3160" tooltip="🔗 Ver Mapa" display="🔗 Ver Mapa"/>
    <hyperlink ref="L3163" r:id="rId3161" tooltip="🔗 Ver Mapa" display="🔗 Ver Mapa"/>
    <hyperlink ref="L3164" r:id="rId3162" tooltip="🔗 Ver Mapa" display="🔗 Ver Mapa"/>
    <hyperlink ref="L3165" r:id="rId3163" tooltip="🔗 Ver Mapa" display="🔗 Ver Mapa"/>
    <hyperlink ref="L3166" r:id="rId3164" tooltip="🔗 Ver Mapa" display="🔗 Ver Mapa"/>
    <hyperlink ref="L3167" r:id="rId3165" tooltip="🔗 Ver Mapa" display="🔗 Ver Mapa"/>
    <hyperlink ref="L3168" r:id="rId3166" tooltip="🔗 Ver Mapa" display="🔗 Ver Mapa"/>
    <hyperlink ref="L3169" r:id="rId3167" tooltip="🔗 Ver Mapa" display="🔗 Ver Mapa"/>
    <hyperlink ref="L3170" r:id="rId3168" tooltip="🔗 Ver Mapa" display="🔗 Ver Mapa"/>
    <hyperlink ref="L3171" r:id="rId3169" tooltip="🔗 Ver Mapa" display="🔗 Ver Mapa"/>
    <hyperlink ref="L3172" r:id="rId3170" tooltip="🔗 Ver Mapa" display="🔗 Ver Mapa"/>
    <hyperlink ref="L3173" r:id="rId3171" tooltip="🔗 Ver Mapa" display="🔗 Ver Mapa"/>
    <hyperlink ref="L3174" r:id="rId3172" tooltip="🔗 Ver Mapa" display="🔗 Ver Mapa"/>
    <hyperlink ref="L3175" r:id="rId3173" tooltip="🔗 Ver Mapa" display="🔗 Ver Mapa"/>
    <hyperlink ref="L3176" r:id="rId3174" tooltip="🔗 Ver Mapa" display="🔗 Ver Mapa"/>
    <hyperlink ref="L3177" r:id="rId3175" tooltip="🔗 Ver Mapa" display="🔗 Ver Mapa"/>
    <hyperlink ref="L3178" r:id="rId3176" tooltip="🔗 Ver Mapa" display="🔗 Ver Mapa"/>
    <hyperlink ref="L3179" r:id="rId3177" tooltip="🔗 Ver Mapa" display="🔗 Ver Mapa"/>
    <hyperlink ref="L3180" r:id="rId3178" tooltip="🔗 Ver Mapa" display="🔗 Ver Mapa"/>
    <hyperlink ref="L3181" r:id="rId3179" tooltip="🔗 Ver Mapa" display="🔗 Ver Mapa"/>
    <hyperlink ref="L3182" r:id="rId3180" tooltip="🔗 Ver Mapa" display="🔗 Ver Mapa"/>
    <hyperlink ref="L3183" r:id="rId3181" tooltip="🔗 Ver Mapa" display="🔗 Ver Mapa"/>
    <hyperlink ref="L3184" r:id="rId3182" tooltip="🔗 Ver Mapa" display="🔗 Ver Mapa"/>
    <hyperlink ref="L3185" r:id="rId3183" tooltip="🔗 Ver Mapa" display="🔗 Ver Mapa"/>
    <hyperlink ref="L3186" r:id="rId3184" tooltip="🔗 Ver Mapa" display="🔗 Ver Mapa"/>
    <hyperlink ref="L3187" r:id="rId3185" tooltip="🔗 Ver Mapa" display="🔗 Ver Mapa"/>
    <hyperlink ref="L3188" r:id="rId3186" tooltip="🔗 Ver Mapa" display="🔗 Ver Mapa"/>
    <hyperlink ref="L3189" r:id="rId3187" tooltip="🔗 Ver Mapa" display="🔗 Ver Mapa"/>
    <hyperlink ref="L3190" r:id="rId3188" tooltip="🔗 Ver Mapa" display="🔗 Ver Mapa"/>
    <hyperlink ref="L3191" r:id="rId3189" tooltip="🔗 Ver Mapa" display="🔗 Ver Mapa"/>
    <hyperlink ref="L3192" r:id="rId3190" tooltip="🔗 Ver Mapa" display="🔗 Ver Mapa"/>
    <hyperlink ref="L3193" r:id="rId3191" tooltip="🔗 Ver Mapa" display="🔗 Ver Mapa"/>
    <hyperlink ref="L3194" r:id="rId3192" tooltip="🔗 Ver Mapa" display="🔗 Ver Mapa"/>
    <hyperlink ref="L3195" r:id="rId3193" tooltip="🔗 Ver Mapa" display="🔗 Ver Mapa"/>
    <hyperlink ref="L3196" r:id="rId3194" tooltip="🔗 Ver Mapa" display="🔗 Ver Mapa"/>
    <hyperlink ref="L3197" r:id="rId3195" tooltip="🔗 Ver Mapa" display="🔗 Ver Mapa"/>
    <hyperlink ref="L3198" r:id="rId3196" tooltip="🔗 Ver Mapa" display="🔗 Ver Mapa"/>
    <hyperlink ref="L3199" r:id="rId3197" tooltip="🔗 Ver Mapa" display="🔗 Ver Mapa"/>
    <hyperlink ref="L3200" r:id="rId3198" tooltip="🔗 Ver Mapa" display="🔗 Ver Mapa"/>
    <hyperlink ref="L3201" r:id="rId3199" tooltip="🔗 Ver Mapa" display="🔗 Ver Mapa"/>
    <hyperlink ref="L3202" r:id="rId3200" tooltip="🔗 Ver Mapa" display="🔗 Ver Mapa"/>
    <hyperlink ref="L3203" r:id="rId3201" tooltip="🔗 Ver Mapa" display="🔗 Ver Mapa"/>
    <hyperlink ref="L3204" r:id="rId3202" tooltip="🔗 Ver Mapa" display="🔗 Ver Mapa"/>
    <hyperlink ref="L3205" r:id="rId3203" tooltip="🔗 Ver Mapa" display="🔗 Ver Mapa"/>
    <hyperlink ref="L3206" r:id="rId3204" tooltip="🔗 Ver Mapa" display="🔗 Ver Mapa"/>
    <hyperlink ref="L3207" r:id="rId3205" tooltip="🔗 Ver Mapa" display="🔗 Ver Mapa"/>
    <hyperlink ref="L3208" r:id="rId3206" tooltip="🔗 Ver Mapa" display="🔗 Ver Mapa"/>
    <hyperlink ref="L3209" r:id="rId3207" tooltip="🔗 Ver Mapa" display="🔗 Ver Mapa"/>
    <hyperlink ref="L3210" r:id="rId3208" tooltip="🔗 Ver Mapa" display="🔗 Ver Mapa"/>
    <hyperlink ref="L3211" r:id="rId3209" tooltip="🔗 Ver Mapa" display="🔗 Ver Mapa"/>
    <hyperlink ref="L3212" r:id="rId3210" tooltip="🔗 Ver Mapa" display="🔗 Ver Mapa"/>
    <hyperlink ref="L3213" r:id="rId3211" tooltip="🔗 Ver Mapa" display="🔗 Ver Mapa"/>
    <hyperlink ref="L3214" r:id="rId3212" tooltip="🔗 Ver Mapa" display="🔗 Ver Mapa"/>
    <hyperlink ref="L3215" r:id="rId3213" tooltip="🔗 Ver Mapa" display="🔗 Ver Mapa"/>
    <hyperlink ref="L3216" r:id="rId3214" tooltip="🔗 Ver Mapa" display="🔗 Ver Mapa"/>
    <hyperlink ref="L3217" r:id="rId3215" tooltip="🔗 Ver Mapa" display="🔗 Ver Mapa"/>
    <hyperlink ref="L3218" r:id="rId3216" tooltip="🔗 Ver Mapa" display="🔗 Ver Mapa"/>
    <hyperlink ref="L3219" r:id="rId3217" tooltip="🔗 Ver Mapa" display="🔗 Ver Mapa"/>
    <hyperlink ref="L3220" r:id="rId3218" tooltip="🔗 Ver Mapa" display="🔗 Ver Mapa"/>
    <hyperlink ref="L3221" r:id="rId3219" tooltip="🔗 Ver Mapa" display="🔗 Ver Mapa"/>
    <hyperlink ref="L3222" r:id="rId3220" tooltip="🔗 Ver Mapa" display="🔗 Ver Mapa"/>
    <hyperlink ref="L3223" r:id="rId3221" tooltip="🔗 Ver Mapa" display="🔗 Ver Mapa"/>
    <hyperlink ref="L3224" r:id="rId3222" tooltip="🔗 Ver Mapa" display="🔗 Ver Mapa"/>
    <hyperlink ref="L3225" r:id="rId3223" tooltip="🔗 Ver Mapa" display="🔗 Ver Mapa"/>
    <hyperlink ref="L3226" r:id="rId3224" tooltip="🔗 Ver Mapa" display="🔗 Ver Mapa"/>
    <hyperlink ref="L3227" r:id="rId3225" tooltip="🔗 Ver Mapa" display="🔗 Ver Mapa"/>
    <hyperlink ref="L3228" r:id="rId3226" tooltip="🔗 Ver Mapa" display="🔗 Ver Mapa"/>
    <hyperlink ref="L3229" r:id="rId3227" tooltip="🔗 Ver Mapa" display="🔗 Ver Mapa"/>
    <hyperlink ref="L3230" r:id="rId3228" tooltip="🔗 Ver Mapa" display="🔗 Ver Mapa"/>
    <hyperlink ref="L3231" r:id="rId3229" tooltip="🔗 Ver Mapa" display="🔗 Ver Mapa"/>
    <hyperlink ref="L3232" r:id="rId3230" tooltip="🔗 Ver Mapa" display="🔗 Ver Mapa"/>
    <hyperlink ref="L3233" r:id="rId3231" tooltip="🔗 Ver Mapa" display="🔗 Ver Mapa"/>
    <hyperlink ref="L3234" r:id="rId3232" tooltip="🔗 Ver Mapa" display="🔗 Ver Mapa"/>
    <hyperlink ref="L3235" r:id="rId3233" tooltip="🔗 Ver Mapa" display="🔗 Ver Mapa"/>
    <hyperlink ref="L3236" r:id="rId3234" tooltip="🔗 Ver Mapa" display="🔗 Ver Mapa"/>
    <hyperlink ref="L3237" r:id="rId3235" tooltip="🔗 Ver Mapa" display="🔗 Ver Mapa"/>
    <hyperlink ref="L3238" r:id="rId3236" tooltip="🔗 Ver Mapa" display="🔗 Ver Mapa"/>
    <hyperlink ref="L3239" r:id="rId3237" tooltip="🔗 Ver Mapa" display="🔗 Ver Mapa"/>
    <hyperlink ref="L3240" r:id="rId3238" tooltip="🔗 Ver Mapa" display="🔗 Ver Mapa"/>
    <hyperlink ref="L3241" r:id="rId3239" tooltip="🔗 Ver Mapa" display="🔗 Ver Mapa"/>
    <hyperlink ref="L3242" r:id="rId3240" tooltip="🔗 Ver Mapa" display="🔗 Ver Mapa"/>
    <hyperlink ref="L3243" r:id="rId3241" tooltip="🔗 Ver Mapa" display="🔗 Ver Mapa"/>
    <hyperlink ref="L3244" r:id="rId3242" tooltip="🔗 Ver Mapa" display="🔗 Ver Mapa"/>
    <hyperlink ref="L3245" r:id="rId3243" tooltip="🔗 Ver Mapa" display="🔗 Ver Mapa"/>
    <hyperlink ref="L3246" r:id="rId3244" tooltip="🔗 Ver Mapa" display="🔗 Ver Mapa"/>
    <hyperlink ref="L3247" r:id="rId3245" tooltip="🔗 Ver Mapa" display="🔗 Ver Mapa"/>
    <hyperlink ref="L3248" r:id="rId3246" tooltip="🔗 Ver Mapa" display="🔗 Ver Mapa"/>
    <hyperlink ref="L3249" r:id="rId3247" tooltip="🔗 Ver Mapa" display="🔗 Ver Mapa"/>
    <hyperlink ref="L3250" r:id="rId3248" tooltip="🔗 Ver Mapa" display="🔗 Ver Mapa"/>
    <hyperlink ref="L3251" r:id="rId3249" tooltip="🔗 Ver Mapa" display="🔗 Ver Mapa"/>
    <hyperlink ref="L3252" r:id="rId3250" tooltip="🔗 Ver Mapa" display="🔗 Ver Mapa"/>
    <hyperlink ref="L3253" r:id="rId3251" tooltip="🔗 Ver Mapa" display="🔗 Ver Mapa"/>
    <hyperlink ref="L3254" r:id="rId3252" tooltip="🔗 Ver Mapa" display="🔗 Ver Mapa"/>
    <hyperlink ref="L3255" r:id="rId3253" tooltip="🔗 Ver Mapa" display="🔗 Ver Mapa"/>
    <hyperlink ref="L3256" r:id="rId3254" tooltip="🔗 Ver Mapa" display="🔗 Ver Mapa"/>
    <hyperlink ref="L3257" r:id="rId3255" tooltip="🔗 Ver Mapa" display="🔗 Ver Mapa"/>
    <hyperlink ref="L3258" r:id="rId3256" tooltip="🔗 Ver Mapa" display="🔗 Ver Mapa"/>
    <hyperlink ref="L3259" r:id="rId3257" tooltip="🔗 Ver Mapa" display="🔗 Ver Mapa"/>
    <hyperlink ref="L3260" r:id="rId3258" tooltip="🔗 Ver Mapa" display="🔗 Ver Mapa"/>
    <hyperlink ref="L3261" r:id="rId3259" tooltip="🔗 Ver Mapa" display="🔗 Ver Mapa"/>
    <hyperlink ref="L3262" r:id="rId3260" tooltip="🔗 Ver Mapa" display="🔗 Ver Mapa"/>
    <hyperlink ref="L3263" r:id="rId3261" tooltip="🔗 Ver Mapa" display="🔗 Ver Mapa"/>
    <hyperlink ref="L3264" r:id="rId3262" tooltip="🔗 Ver Mapa" display="🔗 Ver Mapa"/>
    <hyperlink ref="L3265" r:id="rId3263" tooltip="🔗 Ver Mapa" display="🔗 Ver Mapa"/>
    <hyperlink ref="L3266" r:id="rId3264" tooltip="🔗 Ver Mapa" display="🔗 Ver Mapa"/>
    <hyperlink ref="L3267" r:id="rId3265" tooltip="🔗 Ver Mapa" display="🔗 Ver Mapa"/>
    <hyperlink ref="L3268" r:id="rId3266" tooltip="🔗 Ver Mapa" display="🔗 Ver Mapa"/>
    <hyperlink ref="L3269" r:id="rId3267" tooltip="🔗 Ver Mapa" display="🔗 Ver Mapa"/>
    <hyperlink ref="L3270" r:id="rId3268" tooltip="🔗 Ver Mapa" display="🔗 Ver Mapa"/>
    <hyperlink ref="L3271" r:id="rId3269" tooltip="🔗 Ver Mapa" display="🔗 Ver Mapa"/>
    <hyperlink ref="L3272" r:id="rId3270" tooltip="🔗 Ver Mapa" display="🔗 Ver Mapa"/>
    <hyperlink ref="L3273" r:id="rId3271" tooltip="🔗 Ver Mapa" display="🔗 Ver Mapa"/>
    <hyperlink ref="L3274" r:id="rId3272" tooltip="🔗 Ver Mapa" display="🔗 Ver Mapa"/>
    <hyperlink ref="L3275" r:id="rId3273" tooltip="🔗 Ver Mapa" display="🔗 Ver Mapa"/>
    <hyperlink ref="L3276" r:id="rId3274" tooltip="🔗 Ver Mapa" display="🔗 Ver Mapa"/>
    <hyperlink ref="L3277" r:id="rId3275" tooltip="🔗 Ver Mapa" display="🔗 Ver Mapa"/>
    <hyperlink ref="L3278" r:id="rId3276" tooltip="🔗 Ver Mapa" display="🔗 Ver Mapa"/>
    <hyperlink ref="L3279" r:id="rId3277" tooltip="🔗 Ver Mapa" display="🔗 Ver Mapa"/>
    <hyperlink ref="L3280" r:id="rId3278" tooltip="🔗 Ver Mapa" display="🔗 Ver Mapa"/>
    <hyperlink ref="L3281" r:id="rId3279" tooltip="🔗 Ver Mapa" display="🔗 Ver Mapa"/>
    <hyperlink ref="L3282" r:id="rId3280" tooltip="🔗 Ver Mapa" display="🔗 Ver Mapa"/>
    <hyperlink ref="L3283" r:id="rId3281" tooltip="🔗 Ver Mapa" display="🔗 Ver Mapa"/>
    <hyperlink ref="L3284" r:id="rId3282" tooltip="🔗 Ver Mapa" display="🔗 Ver Mapa"/>
    <hyperlink ref="L3285" r:id="rId3283" tooltip="🔗 Ver Mapa" display="🔗 Ver Mapa"/>
    <hyperlink ref="L3286" r:id="rId3284" tooltip="🔗 Ver Mapa" display="🔗 Ver Mapa"/>
    <hyperlink ref="L3287" r:id="rId3285" tooltip="🔗 Ver Mapa" display="🔗 Ver Mapa"/>
    <hyperlink ref="L3288" r:id="rId3286" tooltip="🔗 Ver Mapa" display="🔗 Ver Mapa"/>
    <hyperlink ref="L3289" r:id="rId3287" tooltip="🔗 Ver Mapa" display="🔗 Ver Mapa"/>
    <hyperlink ref="L3290" r:id="rId3288" tooltip="🔗 Ver Mapa" display="🔗 Ver Mapa"/>
    <hyperlink ref="L3291" r:id="rId3289" tooltip="🔗 Ver Mapa" display="🔗 Ver Mapa"/>
    <hyperlink ref="L3292" r:id="rId3290" tooltip="🔗 Ver Mapa" display="🔗 Ver Mapa"/>
    <hyperlink ref="L3293" r:id="rId3291" tooltip="🔗 Ver Mapa" display="🔗 Ver Mapa"/>
    <hyperlink ref="L3294" r:id="rId3292" tooltip="🔗 Ver Mapa" display="🔗 Ver Mapa"/>
    <hyperlink ref="L3295" r:id="rId3293" tooltip="🔗 Ver Mapa" display="🔗 Ver Mapa"/>
  </hyperlinks>
  <pageMargins left="0.6" right="0.6" top="0.3" bottom="0.4" header="0.3" footer="0.3"/>
  <pageSetup paperSize="9" scale="39" fitToHeight="0" orientation="landscape" r:id="rId3294"/>
  <headerFooter>
    <oddFooter>&amp;L&amp;BPagina &amp;P of &amp;N</oddFooter>
  </headerFooter>
  <drawing r:id="rId3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</vt:lpstr>
      <vt:lpstr>Georreferencias</vt:lpstr>
      <vt:lpstr>Georreferencias!Títulos_a_imprimir</vt:lpstr>
      <vt:lpstr>Resumen!Títulos_a_imprimir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All data Safe Mexico</cp:lastModifiedBy>
  <cp:lastPrinted>2024-11-05T05:39:21Z</cp:lastPrinted>
  <dcterms:created xsi:type="dcterms:W3CDTF">2024-11-04T20:04:23Z</dcterms:created>
  <dcterms:modified xsi:type="dcterms:W3CDTF">2024-11-05T05:40:31Z</dcterms:modified>
  <cp:category/>
</cp:coreProperties>
</file>